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 windowWidth="17400" windowHeight="5955" activeTab="3"/>
  </bookViews>
  <sheets>
    <sheet name="стр.1" sheetId="1" r:id="rId1"/>
    <sheet name="стр.2" sheetId="2" r:id="rId2"/>
    <sheet name="стр.5_6" sheetId="3" r:id="rId3"/>
    <sheet name="приложения" sheetId="4" r:id="rId4"/>
  </sheets>
  <definedNames>
    <definedName name="TABLE" localSheetId="0">'стр.1'!#REF!</definedName>
    <definedName name="TABLE" localSheetId="1">'стр.2'!#REF!</definedName>
    <definedName name="TABLE" localSheetId="2">'стр.5_6'!#REF!</definedName>
    <definedName name="TABLE_2" localSheetId="0">'стр.1'!#REF!</definedName>
    <definedName name="TABLE_2" localSheetId="1">'стр.2'!#REF!</definedName>
    <definedName name="TABLE_2" localSheetId="2">'стр.5_6'!#REF!</definedName>
    <definedName name="_xlnm.Print_Titles" localSheetId="1">'стр.2'!$4:$8</definedName>
    <definedName name="_xlnm.Print_Titles" localSheetId="2">'стр.5_6'!$3:$6</definedName>
    <definedName name="_xlnm.Print_Area" localSheetId="3">'приложения'!$A$1:$M$526</definedName>
    <definedName name="_xlnm.Print_Area" localSheetId="0">'стр.1'!$A$1:$DH$34</definedName>
    <definedName name="_xlnm.Print_Area" localSheetId="1">'стр.2'!$A$1:$DM$85</definedName>
    <definedName name="_xlnm.Print_Area" localSheetId="2">'стр.5_6'!$A$1:$FO$81</definedName>
  </definedNames>
  <calcPr fullCalcOnLoad="1"/>
</workbook>
</file>

<file path=xl/sharedStrings.xml><?xml version="1.0" encoding="utf-8"?>
<sst xmlns="http://schemas.openxmlformats.org/spreadsheetml/2006/main" count="1694" uniqueCount="558">
  <si>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</si>
  <si>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</si>
  <si>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</si>
  <si>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</si>
  <si>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</si>
  <si>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</si>
  <si>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</si>
  <si>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</si>
  <si>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</si>
  <si>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</si>
  <si>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</si>
  <si>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</si>
  <si>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</si>
  <si>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</si>
  <si>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</si>
  <si>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</si>
  <si>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</si>
  <si>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</si>
  <si>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</si>
  <si>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Утверждаю</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</si>
  <si>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</si>
  <si>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</si>
  <si>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</si>
  <si>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</si>
  <si>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</si>
  <si>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</si>
  <si>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</si>
  <si>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</si>
  <si>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</si>
  <si>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</si>
  <si>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</si>
  <si>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</si>
  <si>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</si>
  <si>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</si>
  <si>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</si>
  <si>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</si>
  <si>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</si>
  <si>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</si>
  <si>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</si>
  <si>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</si>
  <si>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</si>
  <si>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</si>
  <si>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</si>
  <si>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доходы от оказания услуг, работ, компенсации затрат учреждений, всего</t>
  </si>
  <si>
    <t>1200</t>
  </si>
  <si>
    <t>130</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</si>
  <si>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</si>
  <si>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</si>
  <si>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</si>
  <si>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</si>
  <si>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</si>
  <si>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</si>
  <si>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</si>
  <si>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</si>
  <si>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</si>
  <si>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</si>
  <si>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</si>
  <si>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</si>
  <si>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</si>
  <si>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</si>
  <si>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</si>
  <si>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</si>
  <si>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</si>
  <si>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</si>
  <si>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</si>
  <si>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</si>
  <si>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</si>
  <si>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</si>
  <si>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</si>
  <si>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</si>
  <si>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</si>
  <si>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</si>
  <si>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</si>
  <si>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</si>
  <si>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</si>
  <si>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</si>
  <si>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</si>
  <si>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</si>
  <si>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</si>
  <si>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</si>
  <si>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</si>
  <si>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</si>
  <si>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</si>
  <si>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</si>
  <si>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</si>
  <si>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</si>
  <si>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</si>
  <si>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</si>
  <si>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</si>
  <si>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</si>
  <si>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</si>
  <si>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</si>
  <si>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</si>
  <si>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</si>
  <si>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</si>
  <si>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</si>
  <si>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</si>
  <si>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</si>
  <si>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</si>
  <si>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</si>
  <si>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</si>
  <si>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</si>
  <si>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</si>
  <si>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</si>
  <si>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</si>
  <si>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</si>
  <si>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</si>
  <si>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</si>
  <si>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</si>
  <si>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</si>
  <si>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</si>
  <si>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</si>
  <si>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</si>
  <si>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</si>
  <si>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</si>
  <si>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</si>
  <si>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</si>
  <si>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</si>
  <si>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</si>
  <si>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</si>
  <si>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</si>
  <si>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</si>
  <si>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</si>
  <si>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</si>
  <si>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</si>
  <si>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</si>
  <si>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</si>
  <si>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</si>
  <si>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</si>
  <si>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</si>
  <si>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</si>
  <si>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</si>
  <si>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</si>
  <si>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</si>
  <si>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</si>
  <si>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</si>
  <si>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</si>
  <si>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</si>
  <si>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</si>
  <si>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</si>
  <si>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</si>
  <si>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</si>
  <si>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</si>
  <si>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</si>
  <si>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</si>
  <si>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</si>
  <si>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</si>
  <si>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</si>
  <si>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</si>
  <si>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2650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</si>
  <si>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</si>
  <si>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</si>
  <si>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</si>
  <si>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</si>
  <si>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</si>
  <si>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</si>
  <si>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</si>
  <si>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</si>
  <si>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</si>
  <si>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</si>
  <si>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</si>
  <si>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</si>
  <si>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</si>
  <si>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</si>
  <si>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</si>
  <si>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</si>
  <si>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</si>
  <si>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</si>
  <si>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</si>
  <si>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</si>
  <si>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</si>
  <si>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</si>
  <si>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</si>
  <si>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</si>
  <si>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</si>
  <si>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</si>
  <si>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</si>
  <si>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</si>
  <si>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</si>
  <si>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</si>
  <si>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</si>
  <si>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</si>
  <si>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</si>
  <si>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</si>
  <si>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</si>
  <si>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</si>
  <si>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</si>
  <si>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</si>
  <si>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</si>
  <si>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</si>
  <si>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</si>
  <si>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</si>
  <si>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</si>
  <si>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</si>
  <si>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</si>
  <si>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</si>
  <si>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</si>
  <si>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</si>
  <si>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</si>
  <si>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</si>
  <si>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</si>
  <si>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</si>
  <si>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</si>
  <si>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</si>
  <si>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</si>
  <si>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</si>
  <si>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</si>
  <si>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</si>
  <si>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</si>
  <si>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</si>
  <si>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</si>
  <si>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</si>
  <si>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</si>
  <si>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</si>
  <si>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</si>
  <si>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</si>
  <si>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</si>
  <si>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</si>
  <si>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</si>
  <si>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</si>
  <si>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</si>
  <si>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</si>
  <si>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</si>
  <si>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</si>
  <si>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</si>
  <si>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</si>
  <si>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</si>
  <si>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</si>
  <si>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</si>
  <si>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</si>
  <si>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</si>
  <si>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</si>
  <si>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Сумма, всего</t>
  </si>
  <si>
    <t>в том числе</t>
  </si>
  <si>
    <t>субсидия на финансовое обеспечение выполнения государственного (муниципального) задания</t>
  </si>
  <si>
    <t>субсидии, предоставляемые в соответствии с абзацем вторым пункта 1 статьи 78.1 Бюджетного кодекса Российской Федерации</t>
  </si>
  <si>
    <t>поступления от оказания услуг (выполнения работ) на платной основе и от иной приносящей доход деятельности</t>
  </si>
  <si>
    <t>(наименование должности уполномоченного лица, утверждающего документ)</t>
  </si>
  <si>
    <t>(подпись)                                (расшифровка подписи)</t>
  </si>
  <si>
    <t>КОДЫ</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</si>
  <si>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</si>
  <si>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</si>
  <si>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</si>
  <si>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</si>
  <si>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</si>
  <si>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</si>
  <si>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</si>
  <si>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</si>
  <si>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</si>
  <si>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</si>
  <si>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</si>
  <si>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</si>
  <si>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</si>
  <si>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</si>
  <si>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</si>
  <si>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</si>
  <si>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</si>
  <si>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</si>
  <si>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</si>
  <si>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</si>
  <si>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</si>
  <si>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</si>
  <si>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</si>
  <si>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Приложение 1</t>
  </si>
  <si>
    <t xml:space="preserve">к Порядку составления и утверждения планов </t>
  </si>
  <si>
    <t xml:space="preserve">финансово-хозяйственной деятельности </t>
  </si>
  <si>
    <t xml:space="preserve">муниципальных учреждений, подведомственных </t>
  </si>
  <si>
    <t>образования «Балезинский район», утвержденного</t>
  </si>
  <si>
    <t>муниципального образования «Балезинский район»</t>
  </si>
  <si>
    <t>Управление образования Администрации МО "Балезинский район"</t>
  </si>
  <si>
    <t>на 2021г.</t>
  </si>
  <si>
    <t>на 2022г.</t>
  </si>
  <si>
    <t>УТВЕРЖДАЮ</t>
  </si>
  <si>
    <t xml:space="preserve">Расчеты (обоснования) к плану финансово-хозяйственной деятельности государственного  </t>
  </si>
  <si>
    <t>(муниципального) учреждения</t>
  </si>
  <si>
    <t>1. Расчеты (обоснования) выплат персоналу (строка 210)</t>
  </si>
  <si>
    <t>код видов расходов: 111</t>
  </si>
  <si>
    <t>источник финансового обеспечения: республиканский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</si>
  <si>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</si>
  <si>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</si>
  <si>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</si>
  <si>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</si>
  <si>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</si>
  <si>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</si>
  <si>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</si>
  <si>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3*гр.4*(1+гр.8/100)*гр.9*12)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</si>
  <si>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</si>
  <si>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</si>
  <si>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</si>
  <si>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</si>
  <si>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</si>
  <si>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 руководителя</t>
  </si>
  <si>
    <t>Пед. Работники</t>
  </si>
  <si>
    <t>из них учителя</t>
  </si>
  <si>
    <t>из них восп. дош.гр.</t>
  </si>
  <si>
    <t>Вспомогат. персонал</t>
  </si>
  <si>
    <t>из них пом.воспит</t>
  </si>
  <si>
    <t>Прочий  персонал</t>
  </si>
  <si>
    <t>итого:</t>
  </si>
  <si>
    <t>Наименование расходов</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</si>
  <si>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</si>
  <si>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</si>
  <si>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код видов расходов: 119</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</si>
  <si>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</si>
  <si>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</si>
  <si>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</si>
  <si>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</si>
  <si>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 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</si>
  <si>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</si>
  <si>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</si>
  <si>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</si>
  <si>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</si>
  <si>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в том числе: обязательное социальное страхование на случай временной нетрудоспособности и всязи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</si>
  <si>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</si>
  <si>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</si>
  <si>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</si>
  <si>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</si>
  <si>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всего (по ставке 5,1%)</t>
  </si>
  <si>
    <t xml:space="preserve">итого: </t>
  </si>
  <si>
    <t>Расчет (обоснование) расходов на уплату налогов, сборов и иных платежей</t>
  </si>
  <si>
    <t>Источник финансового обеспечения: местный бюджет</t>
  </si>
  <si>
    <t>Сумма выплаты</t>
  </si>
  <si>
    <t>Количество выплат</t>
  </si>
  <si>
    <t>Сумма начисленного налога, подлежащего уплате, руб (гр.3*гр.4/100)</t>
  </si>
  <si>
    <t>налог на окружающую среду</t>
  </si>
  <si>
    <t>земельный налог</t>
  </si>
  <si>
    <t>Расчет (обоснование) расходов на закупку товаров, работ, услуг</t>
  </si>
  <si>
    <t>Количество номеров</t>
  </si>
  <si>
    <t>Количество платежей в год</t>
  </si>
  <si>
    <t>Стоимость за единицу, руб</t>
  </si>
  <si>
    <t>сумма, руб (гр.3*гр.4*гр.5)</t>
  </si>
  <si>
    <t>оплата за телефон</t>
  </si>
  <si>
    <t>Тариф (с учетом НДС), руб</t>
  </si>
  <si>
    <t>Индексация, %</t>
  </si>
  <si>
    <t>Сумма, руб (гр.4*гр.5*гр.6)</t>
  </si>
  <si>
    <t>количество работ, услуг</t>
  </si>
  <si>
    <t>Стоимость работ (услуг), руб.</t>
  </si>
  <si>
    <t>АПС</t>
  </si>
  <si>
    <t>контрольно-измерительные работы</t>
  </si>
  <si>
    <t>Источник финансового обеспечения: республиканский бюджет</t>
  </si>
  <si>
    <t>Количество</t>
  </si>
  <si>
    <t>Средняя стоимость, руб</t>
  </si>
  <si>
    <t>Сумма, руб (гр.2*гр.3)</t>
  </si>
  <si>
    <t>производственный контроль</t>
  </si>
  <si>
    <t>Источник финансового обеспечения: внебюджет</t>
  </si>
  <si>
    <t>продукты питания</t>
  </si>
  <si>
    <t>итого</t>
  </si>
  <si>
    <t>хоз товары</t>
  </si>
  <si>
    <t>2022 год</t>
  </si>
  <si>
    <t xml:space="preserve">Исполнитель </t>
  </si>
  <si>
    <t>бухгалтер</t>
  </si>
  <si>
    <t>Расчет (обоснование) расходов на приобретение основных средств, материальных запасов (310, 340)</t>
  </si>
  <si>
    <t>аккарицидная обработка</t>
  </si>
  <si>
    <t>2021 год</t>
  </si>
  <si>
    <t>Расчет (обоснование) доходов по родительской плате в детском саду</t>
  </si>
  <si>
    <t>Наименование доходов</t>
  </si>
  <si>
    <t>кол-во</t>
  </si>
  <si>
    <t>Средняя стоимость одного дня, руб</t>
  </si>
  <si>
    <t>кол-во дней в году</t>
  </si>
  <si>
    <t>Расчет (обоснование) доходов по сотрудникам в детском саду</t>
  </si>
  <si>
    <t>Расчет (обоснование) доходов по питанию учащихся в школе</t>
  </si>
  <si>
    <t>Расчет (обоснование) доходов по аренде помещения</t>
  </si>
  <si>
    <t>ежемесячная стоимость (руб)</t>
  </si>
  <si>
    <t>кол-во месяцев в году</t>
  </si>
  <si>
    <t>аренда помещения (ростелеком)</t>
  </si>
  <si>
    <t>дети, питающиеся  за счет родительских средств</t>
  </si>
  <si>
    <t>дети из многодетных семей</t>
  </si>
  <si>
    <t xml:space="preserve"> обучающиеся, питающиеся  за счет родительских средств</t>
  </si>
  <si>
    <t xml:space="preserve"> сотрудники (воспитатели .дошкольной группы)</t>
  </si>
  <si>
    <t xml:space="preserve"> сотрудники (учебно-вспом.персонал) в д/саду</t>
  </si>
  <si>
    <t>066</t>
  </si>
  <si>
    <t>1802004040</t>
  </si>
  <si>
    <t>183701001</t>
  </si>
  <si>
    <r>
      <t xml:space="preserve">Код видов расходов: </t>
    </r>
    <r>
      <rPr>
        <b/>
        <sz val="10"/>
        <color indexed="8"/>
        <rFont val="Times New Roman"/>
        <family val="1"/>
      </rPr>
      <t>853</t>
    </r>
  </si>
  <si>
    <r>
      <t xml:space="preserve">Код видов расходов: </t>
    </r>
    <r>
      <rPr>
        <b/>
        <sz val="10"/>
        <color indexed="8"/>
        <rFont val="Times New Roman"/>
        <family val="1"/>
      </rPr>
      <t>851</t>
    </r>
  </si>
  <si>
    <t>Налоговая база (кадастровая ст-ть*1,5)</t>
  </si>
  <si>
    <t xml:space="preserve">Ставка налога в </t>
  </si>
  <si>
    <r>
      <t>Расчет (обоснование) расходов на оплату услуг связи  (</t>
    </r>
    <r>
      <rPr>
        <b/>
        <sz val="10"/>
        <color indexed="8"/>
        <rFont val="Times New Roman"/>
        <family val="1"/>
      </rPr>
      <t>221)</t>
    </r>
  </si>
  <si>
    <r>
      <t>Расчет (обоснование) расходов на оплату коммунальных услуг(</t>
    </r>
    <r>
      <rPr>
        <b/>
        <sz val="10"/>
        <color indexed="8"/>
        <rFont val="Times New Roman"/>
        <family val="1"/>
      </rPr>
      <t>223</t>
    </r>
    <r>
      <rPr>
        <sz val="10"/>
        <color indexed="8"/>
        <rFont val="Times New Roman"/>
        <family val="1"/>
      </rPr>
      <t>)</t>
    </r>
  </si>
  <si>
    <t xml:space="preserve">Размер потребления ресурсов на 1 полугодие </t>
  </si>
  <si>
    <t>электроэнергия (КВТ)</t>
  </si>
  <si>
    <t>отопление (Гкал)</t>
  </si>
  <si>
    <t>водопотребление метр куб</t>
  </si>
  <si>
    <t>водоотведение  куб.метр</t>
  </si>
  <si>
    <t>ТКО (в тонн)</t>
  </si>
  <si>
    <r>
      <t>Расчет (обоснование) расходов на оплату работ, услуг по содержанию имущества(</t>
    </r>
    <r>
      <rPr>
        <b/>
        <sz val="10"/>
        <color indexed="8"/>
        <rFont val="Times New Roman"/>
        <family val="1"/>
      </rPr>
      <t>225)</t>
    </r>
  </si>
  <si>
    <t>стоимость</t>
  </si>
  <si>
    <t xml:space="preserve"> Дератизация</t>
  </si>
  <si>
    <t>Расчет (обоснование) расходов на оплату прочих работ, услуг(226)</t>
  </si>
  <si>
    <r>
      <t xml:space="preserve">Источник финансового обеспечения: </t>
    </r>
    <r>
      <rPr>
        <b/>
        <sz val="10"/>
        <color indexed="8"/>
        <rFont val="Times New Roman"/>
        <family val="1"/>
      </rPr>
      <t>республиканский бюджет</t>
    </r>
  </si>
  <si>
    <t>аккаририцидная обработка  (софинансирование летний отдых субсидия)</t>
  </si>
  <si>
    <t>Расчет (обоснование) расходов на приобретение  материальных запасов</t>
  </si>
  <si>
    <r>
      <t xml:space="preserve">Источник финансового обеспечения: </t>
    </r>
    <r>
      <rPr>
        <b/>
        <sz val="10"/>
        <color indexed="8"/>
        <rFont val="Times New Roman"/>
        <family val="1"/>
      </rPr>
      <t>местный бюджет</t>
    </r>
  </si>
  <si>
    <t>Средняя стоимость,в день  руб</t>
  </si>
  <si>
    <t>продукты питания (софинансирование детское школьное питание иные субсидии)</t>
  </si>
  <si>
    <t>продукты питания  (мун.бюджет д/с дети и дети из многодетных семей)</t>
  </si>
  <si>
    <t>продукты питания  (питание детей из многодетных семей субсидия)</t>
  </si>
  <si>
    <t>экстренный вызов наряда вневедомственной охраны 1 здание</t>
  </si>
  <si>
    <t>ЕДДС (1 здание по квартально)</t>
  </si>
  <si>
    <t>Расчет (обоснование) расходов на приобретение основных средств, материальных запасов 310. 340 учебный процесс</t>
  </si>
  <si>
    <t>приобретение учебников</t>
  </si>
  <si>
    <t>приобретение учебно-наглядных пособий</t>
  </si>
  <si>
    <t>А.В.Лукина</t>
  </si>
  <si>
    <t xml:space="preserve">Управлению образования Администрации муниципального </t>
  </si>
  <si>
    <t>Приказом Управления образования Администрации</t>
  </si>
  <si>
    <t>Лукина А.В.</t>
  </si>
  <si>
    <t>8(34166)5-20-05</t>
  </si>
  <si>
    <t>Муниципальное бюджетное общеобразовательное учреждение "Кестымская средняя общеобразовательная школа"</t>
  </si>
  <si>
    <t>Итого</t>
  </si>
  <si>
    <t>20</t>
  </si>
  <si>
    <t>на 20</t>
  </si>
  <si>
    <t>21</t>
  </si>
  <si>
    <t>22</t>
  </si>
  <si>
    <t>видеонаблюдение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</si>
  <si>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</si>
  <si>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</si>
  <si>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</si>
  <si>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</si>
  <si>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</si>
  <si>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</si>
  <si>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</si>
  <si>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</si>
  <si>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</si>
  <si>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</si>
  <si>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</si>
  <si>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</si>
  <si>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</si>
  <si>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 за исключением бюджетных и автономных учреждений)</t>
  </si>
  <si>
    <t>634</t>
  </si>
  <si>
    <t>гранты, предоставляемые другим организациям и физическим лицам</t>
  </si>
  <si>
    <t>2440</t>
  </si>
  <si>
    <t>2450</t>
  </si>
  <si>
    <t>2460</t>
  </si>
  <si>
    <r>
      <t xml:space="preserve">Код по бюджетной классификации Российской Федерации </t>
    </r>
    <r>
      <rPr>
        <vertAlign val="superscript"/>
        <sz val="8"/>
        <rFont val="Times New Roman"/>
        <family val="1"/>
      </rPr>
      <t>10.1</t>
    </r>
  </si>
  <si>
    <t>4.1</t>
  </si>
  <si>
    <t>1.3.1</t>
  </si>
  <si>
    <t>в том числе: в соответствии с Федеральным законом № 44-ФЗ</t>
  </si>
  <si>
    <t>26310</t>
  </si>
  <si>
    <t xml:space="preserve">из них </t>
  </si>
  <si>
    <t>26310.1</t>
  </si>
  <si>
    <t>1.3.2</t>
  </si>
  <si>
    <t>в том числе: в соответствии с Федеральным законом № 223-ФЗ</t>
  </si>
  <si>
    <t>26320</t>
  </si>
  <si>
    <t>26421.1</t>
  </si>
  <si>
    <t>26430.1</t>
  </si>
  <si>
    <t>26451.1</t>
  </si>
  <si>
    <r>
      <t xml:space="preserve">      </t>
    </r>
    <r>
      <rPr>
        <vertAlign val="superscript"/>
        <sz val="7"/>
        <rFont val="Times New Roman"/>
        <family val="1"/>
      </rPr>
      <t xml:space="preserve">10.1 </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</si>
  <si>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t>СПРАВОЧНО:</t>
  </si>
  <si>
    <t>2023 год</t>
  </si>
  <si>
    <t>2024 год</t>
  </si>
  <si>
    <t>2025 год</t>
  </si>
  <si>
    <t>Энергосервисные контракты, рублей</t>
  </si>
  <si>
    <t>от 31 июля 2020 года №170-ОД</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</si>
  <si>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Плана.</t>
    </r>
  </si>
  <si>
    <t>26421.2</t>
  </si>
  <si>
    <t>26421.3</t>
  </si>
  <si>
    <t>26421.4</t>
  </si>
  <si>
    <t>Субсидия на детское и школьное питание,на софинансирование которой предусмотрена субсидия из бюджета УР на продукты питания</t>
  </si>
  <si>
    <t>Субсидия по предоставлению мер социальной поддержки многодетным семьям за счет средст бюджета УР на увеличение стоимости материальных запасов</t>
  </si>
  <si>
    <t>Субсидия на проведение мероприятий направленных на организацию отдыха, оздоровления и занятости детей, подростков и молодежи, на софинансирование которой предусмотрена субсидия из бюджета УР на работы,услуги по содержанию имущества</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</si>
  <si>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 на продукты питания</t>
  </si>
  <si>
    <t>дополнительное профобразование</t>
  </si>
  <si>
    <t>План финансово-хозяйственной деятельности на 2021г.</t>
  </si>
  <si>
    <r>
      <t>и плановый период 2022 и 2023 годов</t>
    </r>
    <r>
      <rPr>
        <b/>
        <vertAlign val="superscript"/>
        <sz val="11"/>
        <rFont val="Times New Roman"/>
        <family val="1"/>
      </rPr>
      <t>1</t>
    </r>
  </si>
  <si>
    <t>на 2023г.</t>
  </si>
  <si>
    <t>9</t>
  </si>
  <si>
    <t>10</t>
  </si>
  <si>
    <t>11</t>
  </si>
  <si>
    <t>12</t>
  </si>
  <si>
    <t>13</t>
  </si>
  <si>
    <t>14</t>
  </si>
  <si>
    <t>15</t>
  </si>
  <si>
    <t>16</t>
  </si>
  <si>
    <t>17</t>
  </si>
  <si>
    <t>18</t>
  </si>
  <si>
    <t>19</t>
  </si>
  <si>
    <t>23</t>
  </si>
  <si>
    <t xml:space="preserve">          закупка энергетических ресурсов</t>
  </si>
  <si>
    <t>247</t>
  </si>
  <si>
    <t>070201205L3040244</t>
  </si>
  <si>
    <t>код видов расходов: 244, 247</t>
  </si>
  <si>
    <t>2620</t>
  </si>
  <si>
    <t>245</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</si>
  <si>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</si>
  <si>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070701215S5230244</t>
  </si>
  <si>
    <r>
      <t xml:space="preserve">Источник финансового обеспечения: </t>
    </r>
    <r>
      <rPr>
        <b/>
        <sz val="10"/>
        <color indexed="8"/>
        <rFont val="Times New Roman"/>
        <family val="1"/>
      </rPr>
      <t>внебюджет</t>
    </r>
  </si>
  <si>
    <t>1004041P104343244</t>
  </si>
  <si>
    <t>26421.5</t>
  </si>
  <si>
    <t>26421.6</t>
  </si>
  <si>
    <t>26421.7</t>
  </si>
  <si>
    <t>26421.8</t>
  </si>
  <si>
    <t>07070121505230244</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</si>
  <si>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на софинансирование которой предусмотрена субсидия из  бюджета Удмуртской Республики на продукты питания</t>
  </si>
  <si>
    <t xml:space="preserve">Субсидия на реализацию мероприятий подпрограммы "Детское и школьное питание" за счет средств бюджета Удмуртской Республики на продукты питания    </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</si>
  <si>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бюджета Удмуртской Республики  на продукты питания</t>
  </si>
  <si>
    <t>Субсидия на проведение мероприятий направленных на организацию отдыха, оздоровления и занятости детей, подростков и молодежи в Удмуртской Республике на  увеличение стоимости материальных запасов</t>
  </si>
  <si>
    <t>горячее питание  (начальные классы)</t>
  </si>
  <si>
    <t>продукты питания  (питание детей 1-4 класс субсидия)</t>
  </si>
  <si>
    <t>продукты питания  (пришкольный лагерь)</t>
  </si>
  <si>
    <r>
      <t>Источник финансового обеспечения: федеральный</t>
    </r>
    <r>
      <rPr>
        <b/>
        <sz val="10"/>
        <color indexed="8"/>
        <rFont val="Times New Roman"/>
        <family val="1"/>
      </rPr>
      <t xml:space="preserve"> бюджет</t>
    </r>
  </si>
  <si>
    <r>
      <rPr>
        <b/>
        <sz val="10"/>
        <color indexed="8"/>
        <rFont val="Times New Roman"/>
        <family val="1"/>
      </rPr>
      <t>"классное руководство</t>
    </r>
    <r>
      <rPr>
        <sz val="10"/>
        <color indexed="8"/>
        <rFont val="Times New Roman"/>
        <family val="1"/>
      </rPr>
      <t>"</t>
    </r>
  </si>
  <si>
    <t>источник финансового обеспечения: федеральный бюджет</t>
  </si>
  <si>
    <t>Сумма, руб</t>
  </si>
  <si>
    <t>Заработная плата</t>
  </si>
  <si>
    <t>Начисления на выплаты по оплате труда</t>
  </si>
  <si>
    <t>заполн. и согласов. декларации по оплате за НВОС</t>
  </si>
  <si>
    <t>отопление (Гкал) энергосервис</t>
  </si>
  <si>
    <t>Гурьева А.Л.</t>
  </si>
  <si>
    <t>поверка пожарной лестницы</t>
  </si>
  <si>
    <t>поверка огнетушителей</t>
  </si>
  <si>
    <t>Начальник Управления образования Администрации МО "Балезинский район</t>
  </si>
  <si>
    <t>73421,75(-)</t>
  </si>
  <si>
    <t>Субсидия на расходы на дополнительное профессиональное образование по профилю педагогической деятельности за счет средств УР на прочие работы, услуги</t>
  </si>
  <si>
    <t>07050150601820244</t>
  </si>
  <si>
    <t>26421.9</t>
  </si>
  <si>
    <t>акарицидная обработка, дезинсекция</t>
  </si>
  <si>
    <t>100401205S6960244</t>
  </si>
  <si>
    <t>10040120506960244</t>
  </si>
  <si>
    <t>26421.10</t>
  </si>
  <si>
    <t>07070121561420244</t>
  </si>
  <si>
    <t>Субсидия на проведение санитарно-эпидемиологических мероприятий при организации отдыха и оздоровления детей в лагерях за счет средств дотации на поддержку мер по обеспечению сбалансированности бюджетов на прочие работы, услуги</t>
  </si>
  <si>
    <t>Анализы на коронавирус</t>
  </si>
  <si>
    <t>строй.материалы</t>
  </si>
  <si>
    <t>26421.11</t>
  </si>
  <si>
    <t>070201205S6960244</t>
  </si>
  <si>
    <t>26421.12</t>
  </si>
  <si>
    <t>07020120506960244</t>
  </si>
  <si>
    <t>И.о. директора МБОУ "Кестымская средняя школа"</t>
  </si>
  <si>
    <t>и.о. директора</t>
  </si>
  <si>
    <t>обслуживание тревожной кнопки</t>
  </si>
  <si>
    <t>медосмотр</t>
  </si>
  <si>
    <t>изготовление сертификата ключа ФИС ФРДО</t>
  </si>
  <si>
    <t>приобретение АКБ</t>
  </si>
  <si>
    <t>нотариальные услуги</t>
  </si>
  <si>
    <r>
      <rPr>
        <b/>
        <sz val="10"/>
        <color indexed="8"/>
        <rFont val="Times New Roman"/>
        <family val="1"/>
      </rPr>
      <t>"</t>
    </r>
    <r>
      <rPr>
        <sz val="10"/>
        <color indexed="8"/>
        <rFont val="Times New Roman"/>
        <family val="1"/>
      </rPr>
      <t>вожатское лето"</t>
    </r>
  </si>
  <si>
    <t>питание детей в пришкольном лагере (УСЗН)</t>
  </si>
  <si>
    <t>Субсидия на обеспечение безопасности в образовательных организациях за счет дотаций на сбалансированность из бюджета Удмуртской Республики на прочие работы, услуги</t>
  </si>
  <si>
    <t>26421.13</t>
  </si>
  <si>
    <t>07020120861090244</t>
  </si>
  <si>
    <t>Услуги по обеспечению безопасности</t>
  </si>
  <si>
    <t>Расчет (обоснование) доходов по пожертвованиям</t>
  </si>
  <si>
    <t>жертвователи</t>
  </si>
  <si>
    <t>Субсидия на укрепление материально-технической базы пищеблоков в образовательных учреждениях за счет дотаций на сбалансированность из бюджета Удмуртской Республики на  увеличение стоимости основных средств</t>
  </si>
  <si>
    <t>07020120561240244</t>
  </si>
  <si>
    <t>26421.14</t>
  </si>
  <si>
    <t>укрепление материально-технической базы</t>
  </si>
  <si>
    <t>Расчет (обоснование) расходов на приобретение основных средств, материальных запасов</t>
  </si>
  <si>
    <t>Субсидия на проведение санитарно-эпидемиологических мероприятий при организации образовательного процесса на работы, услуги по содержанию имущества</t>
  </si>
  <si>
    <t>26421.15</t>
  </si>
  <si>
    <t>07020151461080244</t>
  </si>
  <si>
    <t>Дезинфекция (4)</t>
  </si>
  <si>
    <t>ГИА</t>
  </si>
  <si>
    <r>
      <t xml:space="preserve">от  </t>
    </r>
    <r>
      <rPr>
        <u val="single"/>
        <sz val="11"/>
        <rFont val="Times New Roman"/>
        <family val="1"/>
      </rPr>
      <t>"31" декабря 2021г.</t>
    </r>
  </si>
  <si>
    <t>31.12.2021</t>
  </si>
  <si>
    <t>Д.В. Касимова</t>
  </si>
  <si>
    <t>И.о. директора МБОУ "Кестымская средняя школа"______________________Д.В. Касимова</t>
  </si>
  <si>
    <t>Главный бухгалтер ЦБ____________________________О.К. Горбушина</t>
  </si>
  <si>
    <t>СОУТ</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</si>
</sst>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00000"/>
    <numFmt numFmtId="179" formatCode="#,##0.00000"/>
    <numFmt numFmtId="180" formatCode="#,##0.000"/>
  </numFmts>
  <fonts count="6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12"/>
      <name val="Times New Roman"/>
      <family val="1"/>
    </font>
    <font>
      <sz val="11"/>
      <name val="Times New Roman"/>
      <family val="1"/>
    </font>
    <font>
      <b/>
      <sz val="11"/>
      <name val="Times New Roman"/>
      <family val="1"/>
    </font>
    <font>
      <sz val="9"/>
      <name val="Times New Roman"/>
      <family val="1"/>
    </font>
    <font>
      <sz val="7"/>
      <color indexed="9"/>
      <name val="Times New Roman"/>
      <family val="1"/>
    </font>
    <font>
      <vertAlign val="superscript"/>
      <sz val="7"/>
      <name val="Times New Roman"/>
      <family val="1"/>
    </font>
    <font>
      <b/>
      <vertAlign val="superscript"/>
      <sz val="11"/>
      <name val="Times New Roman"/>
      <family val="1"/>
    </font>
    <font>
      <sz val="11"/>
      <color indexed="8"/>
      <name val="Calibri"/>
      <family val="2"/>
    </font>
    <font>
      <sz val="11"/>
      <color indexed="10"/>
      <name val="Calibri"/>
      <family val="2"/>
    </font>
    <font>
      <sz val="10"/>
      <color indexed="8"/>
      <name val="Times New Roman"/>
      <family val="1"/>
    </font>
    <font>
      <sz val="11"/>
      <color indexed="8"/>
      <name val="Times New Roman"/>
      <family val="1"/>
    </font>
    <font>
      <u val="single"/>
      <sz val="11"/>
      <name val="Times New Roman"/>
      <family val="1"/>
    </font>
    <font>
      <sz val="10"/>
      <name val="Times New Roman"/>
      <family val="1"/>
    </font>
    <font>
      <sz val="10"/>
      <color indexed="10"/>
      <name val="Times New Roman"/>
      <family val="1"/>
    </font>
    <font>
      <b/>
      <sz val="10"/>
      <color indexed="8"/>
      <name val="Times New Roman"/>
      <family val="1"/>
    </font>
    <font>
      <u val="single"/>
      <sz val="10"/>
      <name val="Times New Roman"/>
      <family val="1"/>
    </font>
    <font>
      <sz val="8"/>
      <name val="Arial"/>
      <family val="2"/>
    </font>
    <font>
      <sz val="8"/>
      <color indexed="8"/>
      <name val="Times New Roman"/>
      <family val="1"/>
    </font>
    <font>
      <sz val="9"/>
      <color indexed="8"/>
      <name val="Times New Roman"/>
      <family val="1"/>
    </font>
    <font>
      <b/>
      <sz val="8"/>
      <color indexed="8"/>
      <name val="Times New Roman"/>
      <family val="1"/>
    </font>
    <font>
      <b/>
      <i/>
      <sz val="9"/>
      <color indexed="10"/>
      <name val="Times New Roman"/>
      <family val="1"/>
    </font>
    <font>
      <b/>
      <i/>
      <sz val="8"/>
      <color indexed="10"/>
      <name val="Times New Roman"/>
      <family val="1"/>
    </font>
    <font>
      <sz val="10"/>
      <name val="Arial"/>
      <family val="2"/>
    </font>
    <font>
      <sz val="11"/>
      <color indexed="8"/>
      <name val="Arial"/>
      <family val="2"/>
    </font>
    <font>
      <sz val="11"/>
      <name val="Arial"/>
      <family val="2"/>
    </font>
    <font>
      <sz val="11"/>
      <color indexed="9"/>
      <name val="Calibri"/>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thin"/>
      <right style="medium"/>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style="thin"/>
    </border>
    <border>
      <left style="medium"/>
      <right>
        <color indexed="63"/>
      </right>
      <top>
        <color indexed="63"/>
      </top>
      <bottom style="thin"/>
    </border>
    <border>
      <left style="thin"/>
      <right style="medium"/>
      <top>
        <color indexed="63"/>
      </top>
      <bottom style="thin"/>
    </border>
    <border>
      <left style="thin"/>
      <right style="thin"/>
      <top>
        <color indexed="63"/>
      </top>
      <bottom style="thin"/>
    </border>
    <border>
      <left style="medium"/>
      <right>
        <color indexed="63"/>
      </right>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color indexed="63"/>
      </right>
      <top>
        <color indexed="63"/>
      </top>
      <bottom>
        <color indexed="63"/>
      </bottom>
    </border>
    <border>
      <left style="thin">
        <color indexed="60"/>
      </left>
      <right style="thin">
        <color indexed="60"/>
      </right>
      <top style="thin">
        <color indexed="60"/>
      </top>
      <bottom style="thin">
        <color indexed="60"/>
      </bottom>
    </border>
    <border>
      <left>
        <color indexed="63"/>
      </left>
      <right>
        <color indexed="63"/>
      </right>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color indexed="63"/>
      </left>
      <right style="medium"/>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 fontId="53" fillId="20" borderId="1">
      <alignment horizontal="right" vertical="top" shrinkToFit="1"/>
      <protection/>
    </xf>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4" fillId="27" borderId="2" applyNumberFormat="0" applyAlignment="0" applyProtection="0"/>
    <xf numFmtId="0" fontId="55" fillId="28" borderId="3" applyNumberFormat="0" applyAlignment="0" applyProtection="0"/>
    <xf numFmtId="0" fontId="56" fillId="28" borderId="2"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29" borderId="8"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0" fontId="51" fillId="0" borderId="0">
      <alignment/>
      <protection/>
    </xf>
    <xf numFmtId="0" fontId="17" fillId="0" borderId="0">
      <alignment/>
      <protection/>
    </xf>
    <xf numFmtId="0" fontId="26" fillId="0" borderId="0">
      <alignment/>
      <protection/>
    </xf>
    <xf numFmtId="0" fontId="0" fillId="0" borderId="0">
      <alignment/>
      <protection/>
    </xf>
    <xf numFmtId="0" fontId="8" fillId="0" borderId="0" applyNumberForma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0" fontId="68" fillId="33" borderId="0" applyNumberFormat="0" applyBorder="0" applyAlignment="0" applyProtection="0"/>
  </cellStyleXfs>
  <cellXfs count="514">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3" fillId="0" borderId="0" xfId="0" applyNumberFormat="1" applyFont="1" applyBorder="1" applyAlignment="1">
      <alignment horizont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left" vertical="center"/>
    </xf>
    <xf numFmtId="0" fontId="4" fillId="0" borderId="13" xfId="0" applyNumberFormat="1" applyFont="1" applyBorder="1" applyAlignment="1">
      <alignment horizontal="left"/>
    </xf>
    <xf numFmtId="0" fontId="3" fillId="0" borderId="0" xfId="0" applyNumberFormat="1" applyFont="1" applyBorder="1" applyAlignment="1">
      <alignment/>
    </xf>
    <xf numFmtId="0" fontId="10" fillId="0" borderId="0" xfId="0" applyNumberFormat="1" applyFont="1" applyBorder="1" applyAlignment="1">
      <alignment/>
    </xf>
    <xf numFmtId="0" fontId="11" fillId="0" borderId="0" xfId="0" applyNumberFormat="1" applyFont="1" applyBorder="1" applyAlignment="1">
      <alignment/>
    </xf>
    <xf numFmtId="0" fontId="12" fillId="0" borderId="0" xfId="0" applyNumberFormat="1" applyFont="1" applyBorder="1" applyAlignment="1">
      <alignment horizontal="left"/>
    </xf>
    <xf numFmtId="0" fontId="12" fillId="0" borderId="0" xfId="0" applyNumberFormat="1" applyFont="1" applyBorder="1" applyAlignment="1">
      <alignment/>
    </xf>
    <xf numFmtId="49" fontId="20" fillId="0" borderId="0" xfId="0" applyNumberFormat="1" applyFont="1" applyBorder="1" applyAlignment="1">
      <alignment/>
    </xf>
    <xf numFmtId="0" fontId="11" fillId="0" borderId="0" xfId="0" applyNumberFormat="1" applyFont="1" applyBorder="1" applyAlignment="1">
      <alignment horizontal="left"/>
    </xf>
    <xf numFmtId="0" fontId="20" fillId="0" borderId="0" xfId="0" applyNumberFormat="1" applyFont="1" applyBorder="1" applyAlignment="1">
      <alignment horizontal="left"/>
    </xf>
    <xf numFmtId="0" fontId="13" fillId="0" borderId="0" xfId="0" applyNumberFormat="1" applyFont="1" applyBorder="1" applyAlignment="1">
      <alignment horizontal="right"/>
    </xf>
    <xf numFmtId="49" fontId="29" fillId="0" borderId="11" xfId="0" applyNumberFormat="1" applyFont="1" applyBorder="1" applyAlignment="1">
      <alignment horizontal="center"/>
    </xf>
    <xf numFmtId="49" fontId="6" fillId="0" borderId="11" xfId="0" applyNumberFormat="1" applyFont="1" applyBorder="1" applyAlignment="1">
      <alignment horizontal="center"/>
    </xf>
    <xf numFmtId="0" fontId="13" fillId="0" borderId="0" xfId="0" applyFont="1" applyAlignment="1">
      <alignment/>
    </xf>
    <xf numFmtId="0" fontId="13" fillId="0" borderId="0" xfId="0" applyNumberFormat="1" applyFont="1" applyBorder="1" applyAlignment="1">
      <alignment horizontal="left"/>
    </xf>
    <xf numFmtId="0" fontId="51" fillId="0" borderId="0" xfId="54" applyFill="1">
      <alignment/>
      <protection/>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14" xfId="0" applyNumberFormat="1" applyFont="1" applyFill="1" applyBorder="1" applyAlignment="1">
      <alignment horizontal="center"/>
    </xf>
    <xf numFmtId="0" fontId="1" fillId="0" borderId="14" xfId="0" applyNumberFormat="1" applyFont="1" applyFill="1" applyBorder="1" applyAlignment="1">
      <alignment horizontal="right"/>
    </xf>
    <xf numFmtId="0" fontId="1" fillId="0" borderId="15" xfId="0" applyNumberFormat="1" applyFont="1" applyFill="1" applyBorder="1" applyAlignment="1">
      <alignment horizontal="center" vertical="top" wrapText="1"/>
    </xf>
    <xf numFmtId="49" fontId="1" fillId="0" borderId="16"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xf>
    <xf numFmtId="4" fontId="28" fillId="0" borderId="20" xfId="0" applyNumberFormat="1" applyFont="1" applyFill="1" applyBorder="1" applyAlignment="1">
      <alignment horizontal="right" vertical="center"/>
    </xf>
    <xf numFmtId="4" fontId="28" fillId="0" borderId="20" xfId="0" applyNumberFormat="1" applyFont="1" applyFill="1" applyBorder="1" applyAlignment="1">
      <alignment horizontal="center"/>
    </xf>
    <xf numFmtId="4" fontId="28" fillId="0" borderId="21" xfId="0" applyNumberFormat="1" applyFont="1" applyFill="1" applyBorder="1" applyAlignment="1">
      <alignment horizontal="right" vertical="center"/>
    </xf>
    <xf numFmtId="4" fontId="28" fillId="0" borderId="22" xfId="0" applyNumberFormat="1" applyFont="1" applyFill="1" applyBorder="1" applyAlignment="1">
      <alignment horizontal="center"/>
    </xf>
    <xf numFmtId="4" fontId="28" fillId="0" borderId="23" xfId="0" applyNumberFormat="1" applyFont="1" applyFill="1" applyBorder="1" applyAlignment="1">
      <alignment horizontal="right" vertical="center"/>
    </xf>
    <xf numFmtId="49" fontId="1" fillId="0" borderId="24" xfId="0" applyNumberFormat="1" applyFont="1" applyFill="1" applyBorder="1" applyAlignment="1">
      <alignment horizontal="center"/>
    </xf>
    <xf numFmtId="4" fontId="28" fillId="0" borderId="25" xfId="0" applyNumberFormat="1" applyFont="1" applyFill="1" applyBorder="1" applyAlignment="1">
      <alignment horizontal="center"/>
    </xf>
    <xf numFmtId="4" fontId="28" fillId="0" borderId="26" xfId="0" applyNumberFormat="1" applyFont="1" applyFill="1" applyBorder="1" applyAlignment="1">
      <alignment horizontal="right" vertical="center"/>
    </xf>
    <xf numFmtId="4" fontId="28" fillId="0" borderId="25" xfId="0" applyNumberFormat="1" applyFont="1" applyFill="1" applyBorder="1" applyAlignment="1">
      <alignment horizontal="right" vertical="center"/>
    </xf>
    <xf numFmtId="4" fontId="28" fillId="0" borderId="27" xfId="0" applyNumberFormat="1" applyFont="1" applyFill="1" applyBorder="1" applyAlignment="1">
      <alignment horizontal="center"/>
    </xf>
    <xf numFmtId="4" fontId="28" fillId="0" borderId="28" xfId="0" applyNumberFormat="1" applyFont="1" applyFill="1" applyBorder="1" applyAlignment="1">
      <alignment horizontal="right" vertical="center"/>
    </xf>
    <xf numFmtId="0" fontId="28" fillId="0" borderId="24" xfId="0" applyNumberFormat="1" applyFont="1" applyFill="1" applyBorder="1" applyAlignment="1">
      <alignment horizontal="center" vertical="top"/>
    </xf>
    <xf numFmtId="4" fontId="28" fillId="0" borderId="26" xfId="0" applyNumberFormat="1" applyFont="1" applyFill="1" applyBorder="1" applyAlignment="1">
      <alignment horizontal="center" vertical="center"/>
    </xf>
    <xf numFmtId="4" fontId="28" fillId="0" borderId="25" xfId="0" applyNumberFormat="1" applyFont="1" applyFill="1" applyBorder="1" applyAlignment="1">
      <alignment horizontal="center" vertical="center"/>
    </xf>
    <xf numFmtId="4" fontId="28" fillId="0" borderId="27" xfId="0" applyNumberFormat="1" applyFont="1" applyFill="1" applyBorder="1" applyAlignment="1">
      <alignment horizontal="center" vertical="center"/>
    </xf>
    <xf numFmtId="4" fontId="28" fillId="0" borderId="28" xfId="0" applyNumberFormat="1" applyFont="1" applyFill="1" applyBorder="1" applyAlignment="1">
      <alignment horizontal="center" vertical="center"/>
    </xf>
    <xf numFmtId="0" fontId="28" fillId="0" borderId="29" xfId="0" applyNumberFormat="1" applyFont="1" applyFill="1" applyBorder="1" applyAlignment="1">
      <alignment horizontal="center" vertical="top"/>
    </xf>
    <xf numFmtId="4" fontId="28" fillId="0" borderId="15" xfId="0" applyNumberFormat="1" applyFont="1" applyFill="1" applyBorder="1" applyAlignment="1">
      <alignment horizontal="right" vertical="center"/>
    </xf>
    <xf numFmtId="4" fontId="28" fillId="0" borderId="15" xfId="0" applyNumberFormat="1" applyFont="1" applyFill="1" applyBorder="1" applyAlignment="1">
      <alignment horizontal="center"/>
    </xf>
    <xf numFmtId="4" fontId="28" fillId="0" borderId="30" xfId="0" applyNumberFormat="1" applyFont="1" applyFill="1" applyBorder="1" applyAlignment="1">
      <alignment horizontal="right" vertical="center"/>
    </xf>
    <xf numFmtId="4" fontId="28" fillId="0" borderId="31" xfId="0" applyNumberFormat="1" applyFont="1" applyFill="1" applyBorder="1" applyAlignment="1">
      <alignment horizontal="center"/>
    </xf>
    <xf numFmtId="4" fontId="28" fillId="0" borderId="13" xfId="0" applyNumberFormat="1" applyFont="1" applyFill="1" applyBorder="1" applyAlignment="1">
      <alignment horizontal="right" vertical="center"/>
    </xf>
    <xf numFmtId="4" fontId="28" fillId="0" borderId="11" xfId="0" applyNumberFormat="1" applyFont="1" applyFill="1" applyBorder="1" applyAlignment="1">
      <alignment horizontal="center" vertical="center"/>
    </xf>
    <xf numFmtId="4" fontId="28" fillId="0" borderId="32" xfId="0" applyNumberFormat="1" applyFont="1" applyFill="1" applyBorder="1" applyAlignment="1">
      <alignment vertic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4" fontId="28" fillId="0" borderId="28" xfId="0" applyNumberFormat="1" applyFont="1" applyFill="1" applyBorder="1" applyAlignment="1">
      <alignment horizontal="center"/>
    </xf>
    <xf numFmtId="4" fontId="28" fillId="0" borderId="26" xfId="0" applyNumberFormat="1" applyFont="1" applyFill="1" applyBorder="1" applyAlignment="1">
      <alignment horizontal="center"/>
    </xf>
    <xf numFmtId="49" fontId="27" fillId="0" borderId="24" xfId="0" applyNumberFormat="1" applyFont="1" applyFill="1" applyBorder="1" applyAlignment="1">
      <alignment horizontal="center"/>
    </xf>
    <xf numFmtId="0" fontId="28" fillId="0" borderId="24" xfId="0" applyNumberFormat="1" applyFont="1" applyFill="1" applyBorder="1" applyAlignment="1">
      <alignment horizontal="center" vertical="center"/>
    </xf>
    <xf numFmtId="0" fontId="28" fillId="0" borderId="17" xfId="0" applyNumberFormat="1" applyFont="1" applyFill="1" applyBorder="1" applyAlignment="1">
      <alignment horizontal="center" vertical="top"/>
    </xf>
    <xf numFmtId="0" fontId="1" fillId="0" borderId="16" xfId="0" applyNumberFormat="1" applyFont="1" applyFill="1" applyBorder="1" applyAlignment="1">
      <alignment horizontal="center"/>
    </xf>
    <xf numFmtId="4" fontId="28" fillId="0" borderId="33" xfId="0" applyNumberFormat="1" applyFont="1" applyFill="1" applyBorder="1" applyAlignment="1">
      <alignment horizontal="right" vertical="center"/>
    </xf>
    <xf numFmtId="4" fontId="28" fillId="0" borderId="16" xfId="0" applyNumberFormat="1" applyFont="1" applyFill="1" applyBorder="1" applyAlignment="1">
      <alignment horizontal="right" vertical="center"/>
    </xf>
    <xf numFmtId="0" fontId="1" fillId="0" borderId="34" xfId="0" applyNumberFormat="1" applyFont="1" applyFill="1" applyBorder="1" applyAlignment="1">
      <alignment horizontal="center"/>
    </xf>
    <xf numFmtId="4" fontId="28" fillId="0" borderId="35" xfId="0" applyNumberFormat="1" applyFont="1" applyFill="1" applyBorder="1" applyAlignment="1">
      <alignment horizontal="right" vertical="center"/>
    </xf>
    <xf numFmtId="0" fontId="28" fillId="0" borderId="19" xfId="0" applyNumberFormat="1" applyFont="1" applyFill="1" applyBorder="1" applyAlignment="1">
      <alignment horizontal="center" vertical="top"/>
    </xf>
    <xf numFmtId="0" fontId="1" fillId="0" borderId="20" xfId="0" applyNumberFormat="1" applyFont="1" applyFill="1" applyBorder="1" applyAlignment="1">
      <alignment horizontal="center"/>
    </xf>
    <xf numFmtId="0" fontId="1" fillId="0" borderId="22" xfId="0" applyNumberFormat="1" applyFont="1" applyFill="1" applyBorder="1" applyAlignment="1">
      <alignment horizontal="center"/>
    </xf>
    <xf numFmtId="4" fontId="19" fillId="0" borderId="25" xfId="0" applyNumberFormat="1" applyFont="1" applyFill="1" applyBorder="1" applyAlignment="1">
      <alignment horizontal="center"/>
    </xf>
    <xf numFmtId="4" fontId="19" fillId="0" borderId="27" xfId="0" applyNumberFormat="1" applyFont="1" applyFill="1" applyBorder="1" applyAlignment="1">
      <alignment horizontal="center"/>
    </xf>
    <xf numFmtId="4" fontId="19" fillId="0" borderId="27" xfId="0" applyNumberFormat="1" applyFont="1" applyFill="1" applyBorder="1" applyAlignment="1">
      <alignment horizontal="center"/>
    </xf>
    <xf numFmtId="4" fontId="19" fillId="0" borderId="20" xfId="0" applyNumberFormat="1" applyFont="1" applyFill="1" applyBorder="1" applyAlignment="1">
      <alignment horizontal="center"/>
    </xf>
    <xf numFmtId="4" fontId="19" fillId="0" borderId="22" xfId="0" applyNumberFormat="1" applyFont="1" applyFill="1" applyBorder="1" applyAlignment="1">
      <alignment horizontal="center"/>
    </xf>
    <xf numFmtId="4" fontId="19" fillId="0" borderId="22" xfId="0" applyNumberFormat="1" applyFont="1" applyFill="1" applyBorder="1" applyAlignment="1">
      <alignment horizontal="center"/>
    </xf>
    <xf numFmtId="0" fontId="14"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27"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36" xfId="0" applyNumberFormat="1" applyFont="1" applyFill="1" applyBorder="1" applyAlignment="1">
      <alignment horizontal="left"/>
    </xf>
    <xf numFmtId="0" fontId="1" fillId="0" borderId="37" xfId="0" applyNumberFormat="1" applyFont="1" applyFill="1" applyBorder="1" applyAlignment="1">
      <alignment horizontal="left"/>
    </xf>
    <xf numFmtId="0" fontId="1" fillId="0" borderId="38" xfId="0" applyNumberFormat="1" applyFont="1" applyFill="1" applyBorder="1" applyAlignment="1">
      <alignment horizontal="left"/>
    </xf>
    <xf numFmtId="0" fontId="1" fillId="0" borderId="39" xfId="0" applyNumberFormat="1" applyFont="1" applyFill="1" applyBorder="1" applyAlignment="1">
      <alignment horizontal="left"/>
    </xf>
    <xf numFmtId="0" fontId="4" fillId="0" borderId="38" xfId="0" applyNumberFormat="1" applyFont="1" applyFill="1" applyBorder="1" applyAlignment="1">
      <alignment horizontal="center" vertical="top"/>
    </xf>
    <xf numFmtId="0" fontId="4" fillId="0" borderId="39" xfId="0" applyNumberFormat="1" applyFont="1" applyFill="1" applyBorder="1" applyAlignment="1">
      <alignment horizontal="center" vertical="top"/>
    </xf>
    <xf numFmtId="0" fontId="1" fillId="0" borderId="40" xfId="0" applyNumberFormat="1" applyFont="1" applyFill="1" applyBorder="1" applyAlignment="1">
      <alignment horizontal="left"/>
    </xf>
    <xf numFmtId="0" fontId="1" fillId="0" borderId="41" xfId="0" applyNumberFormat="1" applyFont="1" applyFill="1" applyBorder="1" applyAlignment="1">
      <alignment horizontal="left"/>
    </xf>
    <xf numFmtId="0" fontId="1" fillId="0" borderId="42" xfId="0" applyNumberFormat="1" applyFont="1" applyFill="1" applyBorder="1" applyAlignment="1">
      <alignment horizontal="left"/>
    </xf>
    <xf numFmtId="0" fontId="1" fillId="0" borderId="0" xfId="0" applyNumberFormat="1" applyFont="1" applyBorder="1" applyAlignment="1">
      <alignment/>
    </xf>
    <xf numFmtId="0" fontId="20" fillId="0" borderId="13" xfId="0" applyNumberFormat="1" applyFont="1" applyBorder="1" applyAlignment="1">
      <alignment/>
    </xf>
    <xf numFmtId="0" fontId="20" fillId="0" borderId="13" xfId="0" applyNumberFormat="1" applyFont="1" applyBorder="1" applyAlignment="1">
      <alignment/>
    </xf>
    <xf numFmtId="0" fontId="28" fillId="34" borderId="24" xfId="0" applyNumberFormat="1" applyFont="1" applyFill="1" applyBorder="1" applyAlignment="1">
      <alignment horizontal="center" vertical="top"/>
    </xf>
    <xf numFmtId="4" fontId="28" fillId="34" borderId="15" xfId="0" applyNumberFormat="1" applyFont="1" applyFill="1" applyBorder="1" applyAlignment="1">
      <alignment horizontal="right" vertical="center"/>
    </xf>
    <xf numFmtId="4" fontId="28" fillId="34" borderId="25" xfId="0" applyNumberFormat="1" applyFont="1" applyFill="1" applyBorder="1" applyAlignment="1">
      <alignment horizontal="center"/>
    </xf>
    <xf numFmtId="4" fontId="28" fillId="34" borderId="26" xfId="0" applyNumberFormat="1" applyFont="1" applyFill="1" applyBorder="1" applyAlignment="1">
      <alignment horizontal="center" vertical="center"/>
    </xf>
    <xf numFmtId="4" fontId="28" fillId="34" borderId="25" xfId="0" applyNumberFormat="1" applyFont="1" applyFill="1" applyBorder="1" applyAlignment="1">
      <alignment horizontal="center" vertical="center"/>
    </xf>
    <xf numFmtId="4" fontId="28" fillId="34" borderId="27" xfId="0" applyNumberFormat="1" applyFont="1" applyFill="1" applyBorder="1" applyAlignment="1">
      <alignment horizontal="center" vertical="center"/>
    </xf>
    <xf numFmtId="4" fontId="28" fillId="0" borderId="28" xfId="0" applyNumberFormat="1" applyFont="1" applyBorder="1" applyAlignment="1">
      <alignment horizontal="center" vertical="center"/>
    </xf>
    <xf numFmtId="4" fontId="28" fillId="0" borderId="25" xfId="0" applyNumberFormat="1" applyFont="1" applyBorder="1" applyAlignment="1">
      <alignment horizontal="center" vertical="center"/>
    </xf>
    <xf numFmtId="4" fontId="28" fillId="0" borderId="26" xfId="0" applyNumberFormat="1" applyFont="1" applyBorder="1" applyAlignment="1">
      <alignment horizontal="center" vertical="center"/>
    </xf>
    <xf numFmtId="4" fontId="28" fillId="0" borderId="27" xfId="0" applyNumberFormat="1" applyFont="1" applyBorder="1" applyAlignment="1">
      <alignment horizontal="center" vertical="center"/>
    </xf>
    <xf numFmtId="4" fontId="28" fillId="0" borderId="28" xfId="0" applyNumberFormat="1" applyFont="1" applyBorder="1" applyAlignment="1">
      <alignment horizontal="right" vertical="center"/>
    </xf>
    <xf numFmtId="4" fontId="28" fillId="0" borderId="25" xfId="0" applyNumberFormat="1" applyFont="1" applyBorder="1" applyAlignment="1">
      <alignment horizontal="right" vertical="center"/>
    </xf>
    <xf numFmtId="4" fontId="28" fillId="0" borderId="27" xfId="0" applyNumberFormat="1" applyFont="1" applyBorder="1" applyAlignment="1">
      <alignment horizontal="center"/>
    </xf>
    <xf numFmtId="4" fontId="28" fillId="34" borderId="43" xfId="0" applyNumberFormat="1" applyFont="1" applyFill="1" applyBorder="1" applyAlignment="1">
      <alignment horizontal="center" vertical="center"/>
    </xf>
    <xf numFmtId="4" fontId="28" fillId="34" borderId="12" xfId="0" applyNumberFormat="1" applyFont="1" applyFill="1" applyBorder="1" applyAlignment="1">
      <alignment horizontal="center" vertical="center"/>
    </xf>
    <xf numFmtId="4" fontId="28" fillId="34" borderId="0" xfId="0" applyNumberFormat="1" applyFont="1" applyFill="1" applyBorder="1" applyAlignment="1">
      <alignment horizontal="center" vertical="center"/>
    </xf>
    <xf numFmtId="4" fontId="28" fillId="34" borderId="14" xfId="0" applyNumberFormat="1" applyFont="1" applyFill="1" applyBorder="1" applyAlignment="1">
      <alignment horizontal="center" vertical="center"/>
    </xf>
    <xf numFmtId="4" fontId="28" fillId="0" borderId="0" xfId="0" applyNumberFormat="1" applyFont="1" applyBorder="1" applyAlignment="1">
      <alignment horizontal="center" vertical="center"/>
    </xf>
    <xf numFmtId="4" fontId="28" fillId="0" borderId="12" xfId="0" applyNumberFormat="1" applyFont="1" applyBorder="1" applyAlignment="1">
      <alignment horizontal="center" vertical="center"/>
    </xf>
    <xf numFmtId="4" fontId="28" fillId="34" borderId="30" xfId="0" applyNumberFormat="1" applyFont="1" applyFill="1" applyBorder="1" applyAlignment="1">
      <alignment horizontal="center" vertical="center"/>
    </xf>
    <xf numFmtId="4" fontId="28" fillId="34" borderId="32" xfId="0" applyNumberFormat="1" applyFont="1" applyFill="1" applyBorder="1" applyAlignment="1">
      <alignment horizontal="center" vertical="center"/>
    </xf>
    <xf numFmtId="4" fontId="28" fillId="34" borderId="13" xfId="0" applyNumberFormat="1" applyFont="1" applyFill="1" applyBorder="1" applyAlignment="1">
      <alignment horizontal="center" vertical="center"/>
    </xf>
    <xf numFmtId="4" fontId="28" fillId="34" borderId="15" xfId="0" applyNumberFormat="1" applyFont="1" applyFill="1" applyBorder="1" applyAlignment="1">
      <alignment horizontal="center" vertical="center"/>
    </xf>
    <xf numFmtId="4" fontId="28" fillId="0" borderId="13" xfId="0" applyNumberFormat="1" applyFont="1" applyBorder="1" applyAlignment="1">
      <alignment horizontal="center" vertical="center"/>
    </xf>
    <xf numFmtId="4" fontId="28" fillId="0" borderId="32" xfId="0" applyNumberFormat="1" applyFont="1" applyBorder="1" applyAlignment="1">
      <alignment horizontal="center" vertical="center"/>
    </xf>
    <xf numFmtId="4" fontId="28" fillId="34" borderId="12" xfId="0" applyNumberFormat="1" applyFont="1" applyFill="1" applyBorder="1" applyAlignment="1">
      <alignment vertical="center"/>
    </xf>
    <xf numFmtId="4" fontId="28" fillId="0" borderId="25" xfId="0" applyNumberFormat="1" applyFont="1" applyBorder="1" applyAlignment="1">
      <alignment horizontal="center"/>
    </xf>
    <xf numFmtId="4" fontId="28" fillId="0" borderId="26" xfId="0" applyNumberFormat="1" applyFont="1" applyBorder="1" applyAlignment="1">
      <alignment horizontal="right" vertical="center"/>
    </xf>
    <xf numFmtId="4" fontId="28" fillId="34" borderId="25" xfId="0" applyNumberFormat="1" applyFont="1" applyFill="1" applyBorder="1" applyAlignment="1">
      <alignment horizontal="right" vertical="center"/>
    </xf>
    <xf numFmtId="0" fontId="1" fillId="34" borderId="25" xfId="0" applyNumberFormat="1" applyFont="1" applyFill="1" applyBorder="1" applyAlignment="1">
      <alignment horizontal="center"/>
    </xf>
    <xf numFmtId="4" fontId="28" fillId="34" borderId="26" xfId="0" applyNumberFormat="1" applyFont="1" applyFill="1" applyBorder="1" applyAlignment="1">
      <alignment horizontal="right" vertical="center"/>
    </xf>
    <xf numFmtId="0" fontId="1" fillId="34" borderId="27" xfId="0" applyNumberFormat="1" applyFont="1" applyFill="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0" fontId="20" fillId="0" borderId="0" xfId="54" applyFont="1" applyFill="1">
      <alignment/>
      <protection/>
    </xf>
    <xf numFmtId="4" fontId="19" fillId="34" borderId="27" xfId="0" applyNumberFormat="1" applyFont="1" applyFill="1" applyBorder="1" applyAlignment="1">
      <alignment horizontal="center"/>
    </xf>
    <xf numFmtId="0" fontId="51" fillId="0" borderId="0" xfId="54" applyFill="1" applyBorder="1">
      <alignment/>
      <protection/>
    </xf>
    <xf numFmtId="0" fontId="1" fillId="34" borderId="25" xfId="0" applyNumberFormat="1" applyFont="1" applyFill="1" applyBorder="1" applyAlignment="1">
      <alignment horizontal="left" wrapText="1" indent="3"/>
    </xf>
    <xf numFmtId="4" fontId="19" fillId="34" borderId="25" xfId="0" applyNumberFormat="1" applyFont="1" applyFill="1" applyBorder="1" applyAlignment="1">
      <alignment horizontal="center"/>
    </xf>
    <xf numFmtId="4" fontId="28" fillId="34" borderId="28" xfId="0" applyNumberFormat="1" applyFont="1" applyFill="1" applyBorder="1" applyAlignment="1">
      <alignment horizontal="right" vertical="center"/>
    </xf>
    <xf numFmtId="4" fontId="19" fillId="34" borderId="27" xfId="0" applyNumberFormat="1" applyFont="1" applyFill="1" applyBorder="1" applyAlignment="1">
      <alignment horizontal="center"/>
    </xf>
    <xf numFmtId="0" fontId="1" fillId="34" borderId="0" xfId="0" applyNumberFormat="1" applyFont="1" applyFill="1" applyBorder="1" applyAlignment="1">
      <alignment horizontal="left"/>
    </xf>
    <xf numFmtId="0" fontId="51" fillId="35" borderId="0" xfId="54" applyFill="1">
      <alignment/>
      <protection/>
    </xf>
    <xf numFmtId="0" fontId="0" fillId="34" borderId="0" xfId="0" applyFill="1" applyAlignment="1">
      <alignment/>
    </xf>
    <xf numFmtId="0" fontId="22" fillId="36" borderId="0" xfId="57" applyFont="1" applyFill="1">
      <alignment/>
      <protection/>
    </xf>
    <xf numFmtId="0" fontId="22" fillId="36" borderId="0" xfId="57" applyFont="1" applyFill="1" applyAlignment="1">
      <alignment/>
      <protection/>
    </xf>
    <xf numFmtId="0" fontId="51" fillId="36" borderId="0" xfId="54" applyFill="1">
      <alignment/>
      <protection/>
    </xf>
    <xf numFmtId="0" fontId="22" fillId="36" borderId="0" xfId="54" applyFont="1" applyFill="1">
      <alignment/>
      <protection/>
    </xf>
    <xf numFmtId="0" fontId="23" fillId="36" borderId="0" xfId="54" applyFont="1" applyFill="1">
      <alignment/>
      <protection/>
    </xf>
    <xf numFmtId="14" fontId="22" fillId="36" borderId="0" xfId="54" applyNumberFormat="1" applyFont="1" applyFill="1" applyBorder="1">
      <alignment/>
      <protection/>
    </xf>
    <xf numFmtId="0" fontId="18" fillId="36" borderId="0" xfId="54" applyFont="1" applyFill="1">
      <alignment/>
      <protection/>
    </xf>
    <xf numFmtId="0" fontId="19" fillId="36" borderId="0" xfId="54" applyFont="1" applyFill="1">
      <alignment/>
      <protection/>
    </xf>
    <xf numFmtId="0" fontId="24" fillId="36" borderId="0" xfId="54" applyFont="1" applyFill="1">
      <alignment/>
      <protection/>
    </xf>
    <xf numFmtId="0" fontId="19" fillId="36" borderId="0" xfId="55" applyFont="1" applyFill="1" applyBorder="1">
      <alignment/>
      <protection/>
    </xf>
    <xf numFmtId="0" fontId="24" fillId="36" borderId="0" xfId="55" applyFont="1" applyFill="1">
      <alignment/>
      <protection/>
    </xf>
    <xf numFmtId="0" fontId="19" fillId="36" borderId="0" xfId="55" applyFont="1" applyFill="1">
      <alignment/>
      <protection/>
    </xf>
    <xf numFmtId="0" fontId="19" fillId="36" borderId="25" xfId="55" applyFont="1" applyFill="1" applyBorder="1" applyAlignment="1">
      <alignment wrapText="1"/>
      <protection/>
    </xf>
    <xf numFmtId="4" fontId="19" fillId="36" borderId="25" xfId="55" applyNumberFormat="1" applyFont="1" applyFill="1" applyBorder="1" applyAlignment="1">
      <alignment/>
      <protection/>
    </xf>
    <xf numFmtId="0" fontId="17" fillId="36" borderId="11" xfId="55" applyFill="1" applyBorder="1">
      <alignment/>
      <protection/>
    </xf>
    <xf numFmtId="4" fontId="24" fillId="36" borderId="25" xfId="55" applyNumberFormat="1" applyFont="1" applyFill="1" applyBorder="1" applyAlignment="1">
      <alignment/>
      <protection/>
    </xf>
    <xf numFmtId="0" fontId="19" fillId="36" borderId="11" xfId="55" applyFont="1" applyFill="1" applyBorder="1">
      <alignment/>
      <protection/>
    </xf>
    <xf numFmtId="0" fontId="19" fillId="36" borderId="11" xfId="54" applyFont="1" applyFill="1" applyBorder="1" applyAlignment="1">
      <alignment vertical="center" wrapText="1"/>
      <protection/>
    </xf>
    <xf numFmtId="0" fontId="19" fillId="36" borderId="11" xfId="54" applyFont="1" applyFill="1" applyBorder="1">
      <alignment/>
      <protection/>
    </xf>
    <xf numFmtId="0" fontId="19" fillId="36" borderId="25" xfId="54" applyFont="1" applyFill="1" applyBorder="1">
      <alignment/>
      <protection/>
    </xf>
    <xf numFmtId="0" fontId="19" fillId="36" borderId="0" xfId="54" applyFont="1" applyFill="1" applyBorder="1" applyAlignment="1">
      <alignment horizontal="center"/>
      <protection/>
    </xf>
    <xf numFmtId="4" fontId="19" fillId="36" borderId="0" xfId="54" applyNumberFormat="1" applyFont="1" applyFill="1" applyBorder="1" applyAlignment="1">
      <alignment horizontal="center"/>
      <protection/>
    </xf>
    <xf numFmtId="0" fontId="19" fillId="36" borderId="0" xfId="0" applyFont="1" applyFill="1" applyAlignment="1">
      <alignment/>
    </xf>
    <xf numFmtId="0" fontId="0" fillId="36" borderId="0" xfId="0" applyFill="1" applyAlignment="1">
      <alignment/>
    </xf>
    <xf numFmtId="0" fontId="19" fillId="36" borderId="0" xfId="0" applyFont="1" applyFill="1" applyBorder="1" applyAlignment="1">
      <alignment horizontal="center"/>
    </xf>
    <xf numFmtId="4" fontId="19" fillId="36" borderId="0" xfId="0" applyNumberFormat="1" applyFont="1" applyFill="1" applyBorder="1" applyAlignment="1">
      <alignment horizontal="center"/>
    </xf>
    <xf numFmtId="0" fontId="19" fillId="36" borderId="11" xfId="54" applyFont="1" applyFill="1" applyBorder="1" applyAlignment="1">
      <alignment wrapText="1"/>
      <protection/>
    </xf>
    <xf numFmtId="49" fontId="19" fillId="36" borderId="11" xfId="54" applyNumberFormat="1" applyFont="1" applyFill="1" applyBorder="1">
      <alignment/>
      <protection/>
    </xf>
    <xf numFmtId="4" fontId="19" fillId="36" borderId="11" xfId="54" applyNumberFormat="1" applyFont="1" applyFill="1" applyBorder="1">
      <alignment/>
      <protection/>
    </xf>
    <xf numFmtId="4" fontId="20" fillId="36" borderId="1" xfId="33" applyNumberFormat="1" applyFont="1" applyFill="1" applyAlignment="1" applyProtection="1">
      <alignment horizontal="center" vertical="top" shrinkToFit="1"/>
      <protection/>
    </xf>
    <xf numFmtId="0" fontId="19" fillId="36" borderId="0" xfId="54" applyFont="1" applyFill="1" applyBorder="1">
      <alignment/>
      <protection/>
    </xf>
    <xf numFmtId="0" fontId="51" fillId="36" borderId="0" xfId="54" applyFill="1" applyBorder="1">
      <alignment/>
      <protection/>
    </xf>
    <xf numFmtId="4" fontId="26" fillId="36" borderId="0" xfId="56" applyNumberFormat="1" applyFont="1" applyFill="1" applyBorder="1" applyAlignment="1">
      <alignment horizontal="right" vertical="top"/>
      <protection/>
    </xf>
    <xf numFmtId="4" fontId="26" fillId="36" borderId="44" xfId="56" applyNumberFormat="1" applyFont="1" applyFill="1" applyBorder="1" applyAlignment="1">
      <alignment horizontal="right" vertical="top"/>
      <protection/>
    </xf>
    <xf numFmtId="0" fontId="51" fillId="36" borderId="11" xfId="54" applyFill="1" applyBorder="1">
      <alignment/>
      <protection/>
    </xf>
    <xf numFmtId="0" fontId="51" fillId="36" borderId="0" xfId="54" applyFill="1" applyBorder="1" applyAlignment="1">
      <alignment horizontal="center"/>
      <protection/>
    </xf>
    <xf numFmtId="4" fontId="51" fillId="36" borderId="0" xfId="54" applyNumberFormat="1" applyFill="1" applyBorder="1" applyAlignment="1">
      <alignment horizontal="center"/>
      <protection/>
    </xf>
    <xf numFmtId="4" fontId="51" fillId="36" borderId="0" xfId="54" applyNumberFormat="1" applyFill="1">
      <alignment/>
      <protection/>
    </xf>
    <xf numFmtId="0" fontId="19" fillId="36" borderId="0" xfId="54" applyFont="1" applyFill="1" applyBorder="1" applyAlignment="1">
      <alignment horizontal="left" wrapText="1"/>
      <protection/>
    </xf>
    <xf numFmtId="0" fontId="19" fillId="36" borderId="0" xfId="54" applyFont="1" applyFill="1" applyBorder="1" applyAlignment="1">
      <alignment horizontal="left"/>
      <protection/>
    </xf>
    <xf numFmtId="0" fontId="20" fillId="36" borderId="0" xfId="54" applyFont="1" applyFill="1" applyBorder="1">
      <alignment/>
      <protection/>
    </xf>
    <xf numFmtId="0" fontId="20" fillId="36" borderId="11" xfId="54" applyFont="1" applyFill="1" applyBorder="1" applyAlignment="1">
      <alignment horizontal="center"/>
      <protection/>
    </xf>
    <xf numFmtId="4" fontId="20" fillId="36" borderId="11" xfId="54" applyNumberFormat="1" applyFont="1" applyFill="1" applyBorder="1" applyAlignment="1">
      <alignment horizontal="center"/>
      <protection/>
    </xf>
    <xf numFmtId="4" fontId="20" fillId="36" borderId="11" xfId="54" applyNumberFormat="1" applyFont="1" applyFill="1" applyBorder="1" applyAlignment="1">
      <alignment horizontal="center"/>
      <protection/>
    </xf>
    <xf numFmtId="0" fontId="20" fillId="36" borderId="0" xfId="54" applyFont="1" applyFill="1" applyBorder="1" applyAlignment="1">
      <alignment horizontal="center"/>
      <protection/>
    </xf>
    <xf numFmtId="4" fontId="20" fillId="36" borderId="0" xfId="54" applyNumberFormat="1" applyFont="1" applyFill="1">
      <alignment/>
      <protection/>
    </xf>
    <xf numFmtId="0" fontId="20" fillId="36" borderId="0" xfId="54" applyFont="1" applyFill="1">
      <alignment/>
      <protection/>
    </xf>
    <xf numFmtId="0" fontId="25" fillId="36" borderId="13" xfId="54" applyFont="1" applyFill="1" applyBorder="1">
      <alignment/>
      <protection/>
    </xf>
    <xf numFmtId="0" fontId="22" fillId="36" borderId="13" xfId="54" applyFont="1" applyFill="1" applyBorder="1">
      <alignment/>
      <protection/>
    </xf>
    <xf numFmtId="178" fontId="51" fillId="36" borderId="0" xfId="54" applyNumberFormat="1" applyFill="1">
      <alignment/>
      <protection/>
    </xf>
    <xf numFmtId="2" fontId="26" fillId="36" borderId="44" xfId="56" applyNumberFormat="1" applyFont="1" applyFill="1" applyBorder="1" applyAlignment="1">
      <alignment horizontal="right" vertical="top"/>
      <protection/>
    </xf>
    <xf numFmtId="0" fontId="20" fillId="36" borderId="0" xfId="54" applyFont="1" applyFill="1">
      <alignment/>
      <protection/>
    </xf>
    <xf numFmtId="4" fontId="32" fillId="36" borderId="11" xfId="56" applyNumberFormat="1" applyFont="1" applyFill="1" applyBorder="1" applyAlignment="1">
      <alignment horizontal="right" vertical="top"/>
      <protection/>
    </xf>
    <xf numFmtId="0" fontId="33" fillId="36" borderId="11" xfId="54" applyFont="1" applyFill="1" applyBorder="1">
      <alignment/>
      <protection/>
    </xf>
    <xf numFmtId="0" fontId="51" fillId="0" borderId="11" xfId="54" applyFill="1" applyBorder="1">
      <alignment/>
      <protection/>
    </xf>
    <xf numFmtId="4" fontId="34" fillId="36" borderId="11" xfId="56" applyNumberFormat="1" applyFont="1" applyFill="1" applyBorder="1" applyAlignment="1">
      <alignment horizontal="right" vertical="top"/>
      <protection/>
    </xf>
    <xf numFmtId="0" fontId="0" fillId="37" borderId="0" xfId="0" applyFill="1" applyAlignment="1">
      <alignment/>
    </xf>
    <xf numFmtId="179" fontId="51" fillId="36" borderId="0" xfId="54" applyNumberFormat="1" applyFill="1">
      <alignment/>
      <protection/>
    </xf>
    <xf numFmtId="0" fontId="24" fillId="36" borderId="0" xfId="0" applyFont="1" applyFill="1" applyAlignment="1">
      <alignment/>
    </xf>
    <xf numFmtId="4" fontId="24" fillId="36" borderId="25" xfId="55" applyNumberFormat="1" applyFont="1" applyFill="1" applyBorder="1" applyAlignment="1">
      <alignment horizontal="center"/>
      <protection/>
    </xf>
    <xf numFmtId="0" fontId="19" fillId="36" borderId="11" xfId="55" applyFont="1" applyFill="1" applyBorder="1" applyAlignment="1">
      <alignment horizontal="center"/>
      <protection/>
    </xf>
    <xf numFmtId="4" fontId="19" fillId="36" borderId="25" xfId="55" applyNumberFormat="1" applyFont="1" applyFill="1" applyBorder="1" applyAlignment="1">
      <alignment horizontal="center"/>
      <protection/>
    </xf>
    <xf numFmtId="0" fontId="19" fillId="36" borderId="25" xfId="55" applyFont="1" applyFill="1" applyBorder="1" applyAlignment="1">
      <alignment horizontal="left"/>
      <protection/>
    </xf>
    <xf numFmtId="0" fontId="19" fillId="36" borderId="28" xfId="55" applyFont="1" applyFill="1" applyBorder="1" applyAlignment="1">
      <alignment horizontal="left"/>
      <protection/>
    </xf>
    <xf numFmtId="0" fontId="19" fillId="36" borderId="24" xfId="55" applyFont="1" applyFill="1" applyBorder="1" applyAlignment="1">
      <alignment horizontal="left"/>
      <protection/>
    </xf>
    <xf numFmtId="0" fontId="19" fillId="36" borderId="25" xfId="55" applyFont="1" applyFill="1" applyBorder="1" applyAlignment="1">
      <alignment horizontal="center"/>
      <protection/>
    </xf>
    <xf numFmtId="0" fontId="19" fillId="36" borderId="24" xfId="55" applyFont="1" applyFill="1" applyBorder="1" applyAlignment="1">
      <alignment horizontal="center"/>
      <protection/>
    </xf>
    <xf numFmtId="0" fontId="19" fillId="36" borderId="11" xfId="54" applyFont="1" applyFill="1" applyBorder="1" applyAlignment="1">
      <alignment horizontal="center"/>
      <protection/>
    </xf>
    <xf numFmtId="4" fontId="19" fillId="36" borderId="11" xfId="54" applyNumberFormat="1" applyFont="1" applyFill="1" applyBorder="1" applyAlignment="1">
      <alignment horizontal="center"/>
      <protection/>
    </xf>
    <xf numFmtId="0" fontId="19" fillId="36" borderId="24" xfId="54" applyFont="1" applyFill="1" applyBorder="1" applyAlignment="1">
      <alignment horizontal="center"/>
      <protection/>
    </xf>
    <xf numFmtId="0" fontId="19" fillId="36" borderId="0" xfId="54" applyFont="1" applyFill="1" applyAlignment="1">
      <alignment horizontal="center" wrapText="1"/>
      <protection/>
    </xf>
    <xf numFmtId="0" fontId="19" fillId="36" borderId="28" xfId="54" applyFont="1" applyFill="1" applyBorder="1" applyAlignment="1">
      <alignment horizontal="center"/>
      <protection/>
    </xf>
    <xf numFmtId="0" fontId="11" fillId="0" borderId="0" xfId="0" applyNumberFormat="1" applyFont="1" applyBorder="1" applyAlignment="1">
      <alignment horizontal="left"/>
    </xf>
    <xf numFmtId="0" fontId="20" fillId="0" borderId="13" xfId="0" applyNumberFormat="1" applyFont="1" applyBorder="1" applyAlignment="1">
      <alignment horizontal="left"/>
    </xf>
    <xf numFmtId="0" fontId="5" fillId="0" borderId="0" xfId="0" applyNumberFormat="1" applyFont="1" applyBorder="1" applyAlignment="1">
      <alignment horizontal="left"/>
    </xf>
    <xf numFmtId="0" fontId="11" fillId="0" borderId="0" xfId="0" applyNumberFormat="1" applyFont="1" applyBorder="1" applyAlignment="1">
      <alignment horizontal="center"/>
    </xf>
    <xf numFmtId="0" fontId="12" fillId="0" borderId="0" xfId="0" applyNumberFormat="1" applyFont="1" applyBorder="1" applyAlignment="1">
      <alignment horizontal="center"/>
    </xf>
    <xf numFmtId="0" fontId="3" fillId="0" borderId="0" xfId="0" applyNumberFormat="1" applyFont="1" applyBorder="1" applyAlignment="1">
      <alignment horizontal="center"/>
    </xf>
    <xf numFmtId="0" fontId="4" fillId="0" borderId="45" xfId="0" applyNumberFormat="1" applyFont="1" applyBorder="1" applyAlignment="1">
      <alignment horizontal="center" vertical="top"/>
    </xf>
    <xf numFmtId="0" fontId="28" fillId="0" borderId="13" xfId="0" applyNumberFormat="1" applyFont="1" applyBorder="1" applyAlignment="1">
      <alignment horizontal="center"/>
    </xf>
    <xf numFmtId="49" fontId="1" fillId="34" borderId="25" xfId="0" applyNumberFormat="1" applyFont="1" applyFill="1" applyBorder="1" applyAlignment="1">
      <alignment horizontal="center"/>
    </xf>
    <xf numFmtId="49" fontId="1" fillId="34" borderId="28" xfId="0" applyNumberFormat="1" applyFont="1" applyFill="1" applyBorder="1" applyAlignment="1">
      <alignment horizontal="center"/>
    </xf>
    <xf numFmtId="49" fontId="1" fillId="34" borderId="24" xfId="0" applyNumberFormat="1" applyFont="1" applyFill="1" applyBorder="1" applyAlignment="1">
      <alignment horizontal="center"/>
    </xf>
    <xf numFmtId="4" fontId="28" fillId="0" borderId="46" xfId="0" applyNumberFormat="1" applyFont="1" applyBorder="1" applyAlignment="1">
      <alignment horizontal="center"/>
    </xf>
    <xf numFmtId="4" fontId="28" fillId="0" borderId="31" xfId="0" applyNumberFormat="1" applyFont="1" applyBorder="1" applyAlignment="1">
      <alignment horizontal="center"/>
    </xf>
    <xf numFmtId="0" fontId="1" fillId="34" borderId="15" xfId="0" applyNumberFormat="1" applyFont="1" applyFill="1" applyBorder="1" applyAlignment="1">
      <alignment horizontal="left" indent="3"/>
    </xf>
    <xf numFmtId="0" fontId="1" fillId="34" borderId="13" xfId="0" applyNumberFormat="1" applyFont="1" applyFill="1" applyBorder="1" applyAlignment="1">
      <alignment horizontal="left" indent="3"/>
    </xf>
    <xf numFmtId="0" fontId="1" fillId="34" borderId="47" xfId="0" applyNumberFormat="1" applyFont="1" applyFill="1" applyBorder="1" applyAlignment="1">
      <alignment horizontal="left" indent="3"/>
    </xf>
    <xf numFmtId="0" fontId="1" fillId="34" borderId="25" xfId="0" applyNumberFormat="1" applyFont="1" applyFill="1" applyBorder="1" applyAlignment="1">
      <alignment horizontal="left" wrapText="1" indent="3"/>
    </xf>
    <xf numFmtId="0" fontId="1" fillId="34" borderId="28" xfId="0" applyNumberFormat="1" applyFont="1" applyFill="1" applyBorder="1" applyAlignment="1">
      <alignment horizontal="left" wrapText="1" indent="3"/>
    </xf>
    <xf numFmtId="0" fontId="1" fillId="34" borderId="48" xfId="0" applyNumberFormat="1" applyFont="1" applyFill="1" applyBorder="1" applyAlignment="1">
      <alignment horizontal="left" wrapText="1" indent="3"/>
    </xf>
    <xf numFmtId="49" fontId="1" fillId="34" borderId="26" xfId="0" applyNumberFormat="1" applyFont="1" applyFill="1" applyBorder="1" applyAlignment="1">
      <alignment horizontal="center"/>
    </xf>
    <xf numFmtId="4" fontId="28" fillId="0" borderId="14" xfId="0" applyNumberFormat="1" applyFont="1" applyBorder="1" applyAlignment="1">
      <alignment horizontal="center"/>
    </xf>
    <xf numFmtId="4" fontId="28" fillId="0" borderId="15" xfId="0" applyNumberFormat="1" applyFont="1" applyBorder="1" applyAlignment="1">
      <alignment horizontal="center"/>
    </xf>
    <xf numFmtId="4" fontId="28" fillId="0" borderId="49" xfId="0" applyNumberFormat="1" applyFont="1" applyBorder="1" applyAlignment="1">
      <alignment horizontal="right" vertical="center"/>
    </xf>
    <xf numFmtId="4" fontId="28" fillId="0" borderId="30" xfId="0" applyNumberFormat="1" applyFont="1" applyBorder="1" applyAlignment="1">
      <alignment horizontal="right" vertical="center"/>
    </xf>
    <xf numFmtId="4" fontId="28" fillId="0" borderId="14" xfId="0" applyNumberFormat="1" applyFont="1" applyBorder="1" applyAlignment="1">
      <alignment horizontal="right" vertical="center"/>
    </xf>
    <xf numFmtId="4" fontId="28" fillId="0" borderId="15" xfId="0" applyNumberFormat="1" applyFont="1" applyBorder="1" applyAlignment="1">
      <alignment horizontal="right" vertical="center"/>
    </xf>
    <xf numFmtId="0" fontId="28" fillId="34" borderId="50" xfId="0" applyNumberFormat="1" applyFont="1" applyFill="1" applyBorder="1" applyAlignment="1">
      <alignment horizontal="center" vertical="top"/>
    </xf>
    <xf numFmtId="0" fontId="28" fillId="34" borderId="29" xfId="0" applyNumberFormat="1" applyFont="1" applyFill="1" applyBorder="1" applyAlignment="1">
      <alignment horizontal="center" vertical="top"/>
    </xf>
    <xf numFmtId="4" fontId="28" fillId="34" borderId="14" xfId="0" applyNumberFormat="1" applyFont="1" applyFill="1" applyBorder="1" applyAlignment="1">
      <alignment horizontal="right" vertical="center"/>
    </xf>
    <xf numFmtId="4" fontId="28" fillId="34" borderId="15" xfId="0" applyNumberFormat="1" applyFont="1" applyFill="1" applyBorder="1" applyAlignment="1">
      <alignment horizontal="right" vertical="center"/>
    </xf>
    <xf numFmtId="4" fontId="28" fillId="34" borderId="14" xfId="0" applyNumberFormat="1" applyFont="1" applyFill="1" applyBorder="1" applyAlignment="1">
      <alignment horizontal="center"/>
    </xf>
    <xf numFmtId="4" fontId="28" fillId="34" borderId="15" xfId="0" applyNumberFormat="1" applyFont="1" applyFill="1" applyBorder="1" applyAlignment="1">
      <alignment horizontal="center"/>
    </xf>
    <xf numFmtId="4" fontId="28" fillId="0" borderId="11" xfId="0" applyNumberFormat="1" applyFont="1" applyBorder="1" applyAlignment="1">
      <alignment horizontal="right" vertical="center"/>
    </xf>
    <xf numFmtId="0" fontId="1" fillId="34" borderId="14" xfId="0" applyNumberFormat="1" applyFont="1" applyFill="1" applyBorder="1" applyAlignment="1">
      <alignment horizontal="left" indent="3"/>
    </xf>
    <xf numFmtId="0" fontId="1" fillId="34" borderId="45" xfId="0" applyNumberFormat="1" applyFont="1" applyFill="1" applyBorder="1" applyAlignment="1">
      <alignment horizontal="left" indent="3"/>
    </xf>
    <xf numFmtId="0" fontId="1" fillId="34" borderId="51" xfId="0" applyNumberFormat="1" applyFont="1" applyFill="1" applyBorder="1" applyAlignment="1">
      <alignment horizontal="left" indent="3"/>
    </xf>
    <xf numFmtId="49" fontId="1" fillId="34" borderId="49" xfId="0" applyNumberFormat="1" applyFont="1" applyFill="1" applyBorder="1" applyAlignment="1">
      <alignment horizontal="center"/>
    </xf>
    <xf numFmtId="49" fontId="1" fillId="34" borderId="45" xfId="0" applyNumberFormat="1" applyFont="1" applyFill="1" applyBorder="1" applyAlignment="1">
      <alignment horizontal="center"/>
    </xf>
    <xf numFmtId="49" fontId="1" fillId="34" borderId="50" xfId="0" applyNumberFormat="1" applyFont="1" applyFill="1" applyBorder="1" applyAlignment="1">
      <alignment horizontal="center"/>
    </xf>
    <xf numFmtId="49" fontId="1" fillId="34" borderId="30" xfId="0" applyNumberFormat="1" applyFont="1" applyFill="1" applyBorder="1" applyAlignment="1">
      <alignment horizontal="center"/>
    </xf>
    <xf numFmtId="49" fontId="1" fillId="34" borderId="13" xfId="0" applyNumberFormat="1" applyFont="1" applyFill="1" applyBorder="1" applyAlignment="1">
      <alignment horizontal="center"/>
    </xf>
    <xf numFmtId="49" fontId="1" fillId="34" borderId="29" xfId="0" applyNumberFormat="1" applyFont="1" applyFill="1" applyBorder="1" applyAlignment="1">
      <alignment horizontal="center"/>
    </xf>
    <xf numFmtId="49" fontId="1" fillId="34" borderId="14" xfId="0" applyNumberFormat="1" applyFont="1" applyFill="1" applyBorder="1" applyAlignment="1">
      <alignment horizontal="center"/>
    </xf>
    <xf numFmtId="49" fontId="1" fillId="34" borderId="1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28" xfId="0" applyNumberFormat="1" applyFont="1" applyFill="1" applyBorder="1" applyAlignment="1">
      <alignment horizontal="left" wrapText="1" indent="1"/>
    </xf>
    <xf numFmtId="0" fontId="1" fillId="0" borderId="48" xfId="0" applyNumberFormat="1" applyFont="1" applyFill="1" applyBorder="1" applyAlignment="1">
      <alignment horizontal="left" wrapText="1" indent="1"/>
    </xf>
    <xf numFmtId="49" fontId="6" fillId="0" borderId="26"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25"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12"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0" fontId="1" fillId="0" borderId="14"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5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53"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6" fillId="0" borderId="25" xfId="0" applyNumberFormat="1" applyFont="1" applyFill="1" applyBorder="1" applyAlignment="1">
      <alignment horizontal="left"/>
    </xf>
    <xf numFmtId="0" fontId="6" fillId="0" borderId="28" xfId="0" applyNumberFormat="1" applyFont="1" applyFill="1" applyBorder="1" applyAlignment="1">
      <alignment horizontal="left"/>
    </xf>
    <xf numFmtId="0" fontId="6" fillId="0" borderId="48"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25" xfId="0" applyNumberFormat="1" applyFont="1" applyFill="1" applyBorder="1" applyAlignment="1">
      <alignment horizontal="left"/>
    </xf>
    <xf numFmtId="0" fontId="1" fillId="0" borderId="28" xfId="0" applyNumberFormat="1" applyFont="1" applyFill="1" applyBorder="1" applyAlignment="1">
      <alignment horizontal="left"/>
    </xf>
    <xf numFmtId="0" fontId="1" fillId="0" borderId="48" xfId="0" applyNumberFormat="1" applyFont="1" applyFill="1" applyBorder="1" applyAlignment="1">
      <alignment horizontal="left"/>
    </xf>
    <xf numFmtId="49" fontId="1" fillId="0" borderId="21" xfId="0" applyNumberFormat="1" applyFont="1" applyFill="1" applyBorder="1" applyAlignment="1">
      <alignment horizontal="center"/>
    </xf>
    <xf numFmtId="0" fontId="1" fillId="34" borderId="25" xfId="0" applyNumberFormat="1" applyFont="1" applyFill="1" applyBorder="1" applyAlignment="1">
      <alignment horizontal="left" wrapText="1" indent="1"/>
    </xf>
    <xf numFmtId="0" fontId="1" fillId="34" borderId="28" xfId="0" applyNumberFormat="1" applyFont="1" applyFill="1" applyBorder="1" applyAlignment="1">
      <alignment horizontal="left" wrapText="1" indent="1"/>
    </xf>
    <xf numFmtId="0" fontId="1" fillId="34" borderId="48" xfId="0" applyNumberFormat="1" applyFont="1" applyFill="1" applyBorder="1" applyAlignment="1">
      <alignment horizontal="left" wrapText="1" indent="1"/>
    </xf>
    <xf numFmtId="0" fontId="1" fillId="0" borderId="25" xfId="0" applyNumberFormat="1" applyFont="1" applyFill="1" applyBorder="1" applyAlignment="1">
      <alignment horizontal="left" wrapText="1" indent="3"/>
    </xf>
    <xf numFmtId="0" fontId="1" fillId="0" borderId="28" xfId="0" applyNumberFormat="1" applyFont="1" applyFill="1" applyBorder="1" applyAlignment="1">
      <alignment horizontal="left" wrapText="1" indent="3"/>
    </xf>
    <xf numFmtId="0" fontId="1" fillId="0" borderId="48"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2"/>
    </xf>
    <xf numFmtId="0" fontId="1" fillId="0" borderId="28" xfId="0" applyNumberFormat="1" applyFont="1" applyFill="1" applyBorder="1" applyAlignment="1">
      <alignment horizontal="left" wrapText="1" indent="2"/>
    </xf>
    <xf numFmtId="0" fontId="1" fillId="0" borderId="48" xfId="0" applyNumberFormat="1" applyFont="1" applyFill="1" applyBorder="1" applyAlignment="1">
      <alignment horizontal="left" wrapText="1" indent="2"/>
    </xf>
    <xf numFmtId="0" fontId="1" fillId="0" borderId="25" xfId="0" applyNumberFormat="1" applyFont="1" applyFill="1" applyBorder="1" applyAlignment="1">
      <alignment horizontal="left" wrapText="1" indent="4"/>
    </xf>
    <xf numFmtId="0" fontId="1" fillId="0" borderId="28" xfId="0" applyNumberFormat="1" applyFont="1" applyFill="1" applyBorder="1" applyAlignment="1">
      <alignment horizontal="left" wrapText="1" indent="4"/>
    </xf>
    <xf numFmtId="0" fontId="1" fillId="0" borderId="48" xfId="0" applyNumberFormat="1" applyFont="1" applyFill="1" applyBorder="1" applyAlignment="1">
      <alignment horizontal="left" wrapText="1" indent="4"/>
    </xf>
    <xf numFmtId="49" fontId="1" fillId="0" borderId="33"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34" borderId="25" xfId="0" applyNumberFormat="1" applyFont="1" applyFill="1" applyBorder="1" applyAlignment="1">
      <alignment horizontal="left" wrapText="1" indent="4"/>
    </xf>
    <xf numFmtId="0" fontId="1" fillId="34" borderId="28" xfId="0" applyNumberFormat="1" applyFont="1" applyFill="1" applyBorder="1" applyAlignment="1">
      <alignment horizontal="left" wrapText="1" indent="4"/>
    </xf>
    <xf numFmtId="0" fontId="1" fillId="34" borderId="48" xfId="0" applyNumberFormat="1" applyFont="1" applyFill="1" applyBorder="1" applyAlignment="1">
      <alignment horizontal="left" wrapText="1" indent="4"/>
    </xf>
    <xf numFmtId="0" fontId="1" fillId="0" borderId="25"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34" borderId="28" xfId="0" applyNumberFormat="1" applyFont="1" applyFill="1" applyBorder="1" applyAlignment="1">
      <alignment horizontal="left" wrapText="1"/>
    </xf>
    <xf numFmtId="0" fontId="1" fillId="34" borderId="48" xfId="0" applyNumberFormat="1" applyFont="1" applyFill="1" applyBorder="1" applyAlignment="1">
      <alignment horizontal="left" wrapText="1"/>
    </xf>
    <xf numFmtId="0" fontId="14" fillId="0" borderId="0" xfId="0" applyNumberFormat="1" applyFont="1" applyFill="1" applyBorder="1" applyAlignment="1">
      <alignment horizontal="justify" wrapText="1"/>
    </xf>
    <xf numFmtId="4" fontId="28" fillId="0" borderId="25" xfId="0" applyNumberFormat="1" applyFont="1" applyFill="1" applyBorder="1" applyAlignment="1">
      <alignment horizontal="center"/>
    </xf>
    <xf numFmtId="4" fontId="30" fillId="0" borderId="28" xfId="0" applyNumberFormat="1" applyFont="1" applyFill="1" applyBorder="1" applyAlignment="1">
      <alignment horizontal="center"/>
    </xf>
    <xf numFmtId="4" fontId="30" fillId="0" borderId="24" xfId="0" applyNumberFormat="1" applyFont="1" applyFill="1" applyBorder="1" applyAlignment="1">
      <alignment horizontal="center"/>
    </xf>
    <xf numFmtId="4" fontId="30" fillId="0" borderId="48" xfId="0" applyNumberFormat="1" applyFont="1" applyFill="1" applyBorder="1" applyAlignment="1">
      <alignment horizontal="center"/>
    </xf>
    <xf numFmtId="0" fontId="1" fillId="0" borderId="25" xfId="0" applyNumberFormat="1" applyFont="1" applyFill="1" applyBorder="1" applyAlignment="1">
      <alignment horizontal="left" vertical="top" wrapText="1" indent="3"/>
    </xf>
    <xf numFmtId="0" fontId="1" fillId="0" borderId="28" xfId="0" applyNumberFormat="1" applyFont="1" applyFill="1" applyBorder="1" applyAlignment="1">
      <alignment horizontal="left" vertical="top" indent="3"/>
    </xf>
    <xf numFmtId="0" fontId="1" fillId="0" borderId="28" xfId="0" applyNumberFormat="1" applyFont="1" applyFill="1" applyBorder="1" applyAlignment="1">
      <alignment horizontal="left" indent="3"/>
    </xf>
    <xf numFmtId="0" fontId="1" fillId="0" borderId="28" xfId="0" applyNumberFormat="1" applyFont="1" applyFill="1" applyBorder="1" applyAlignment="1">
      <alignment horizontal="left" indent="2"/>
    </xf>
    <xf numFmtId="0" fontId="1" fillId="0" borderId="28" xfId="0" applyNumberFormat="1" applyFont="1" applyFill="1" applyBorder="1" applyAlignment="1">
      <alignment horizontal="left" indent="1"/>
    </xf>
    <xf numFmtId="49" fontId="28" fillId="0" borderId="0" xfId="0" applyNumberFormat="1" applyFont="1" applyFill="1" applyBorder="1" applyAlignment="1">
      <alignment horizontal="center"/>
    </xf>
    <xf numFmtId="49" fontId="30" fillId="0" borderId="0"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4" xfId="0" applyNumberFormat="1" applyFont="1" applyFill="1" applyBorder="1" applyAlignment="1">
      <alignment horizontal="center"/>
    </xf>
    <xf numFmtId="49" fontId="1" fillId="0" borderId="55" xfId="0" applyNumberFormat="1" applyFont="1" applyFill="1" applyBorder="1" applyAlignment="1">
      <alignment horizontal="center"/>
    </xf>
    <xf numFmtId="49" fontId="1" fillId="0" borderId="56"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11" xfId="0" applyNumberFormat="1" applyFont="1" applyFill="1" applyBorder="1" applyAlignment="1">
      <alignment horizontal="center"/>
    </xf>
    <xf numFmtId="49" fontId="28" fillId="0" borderId="28" xfId="0" applyNumberFormat="1" applyFont="1" applyFill="1" applyBorder="1" applyAlignment="1">
      <alignment horizontal="left"/>
    </xf>
    <xf numFmtId="49" fontId="30" fillId="0" borderId="28" xfId="0" applyNumberFormat="1" applyFont="1" applyFill="1" applyBorder="1" applyAlignment="1">
      <alignment horizontal="left"/>
    </xf>
    <xf numFmtId="4" fontId="28" fillId="0" borderId="28" xfId="0" applyNumberFormat="1" applyFont="1" applyFill="1" applyBorder="1" applyAlignment="1">
      <alignment horizontal="center"/>
    </xf>
    <xf numFmtId="4" fontId="28" fillId="0" borderId="48" xfId="0" applyNumberFormat="1" applyFont="1" applyFill="1" applyBorder="1" applyAlignment="1">
      <alignment horizontal="center"/>
    </xf>
    <xf numFmtId="0" fontId="28" fillId="0" borderId="11" xfId="0" applyNumberFormat="1" applyFont="1" applyFill="1" applyBorder="1" applyAlignment="1">
      <alignment horizontal="center" wrapText="1"/>
    </xf>
    <xf numFmtId="0" fontId="30" fillId="0" borderId="11" xfId="0" applyNumberFormat="1" applyFont="1" applyFill="1" applyBorder="1" applyAlignment="1">
      <alignment horizontal="center" wrapText="1"/>
    </xf>
    <xf numFmtId="0" fontId="0" fillId="0" borderId="11" xfId="0" applyFill="1" applyBorder="1" applyAlignment="1">
      <alignment horizontal="center"/>
    </xf>
    <xf numFmtId="4" fontId="28" fillId="0" borderId="11" xfId="0" applyNumberFormat="1" applyFont="1" applyFill="1" applyBorder="1" applyAlignment="1">
      <alignment horizontal="center"/>
    </xf>
    <xf numFmtId="4" fontId="30" fillId="0" borderId="11" xfId="0" applyNumberFormat="1" applyFont="1" applyFill="1" applyBorder="1" applyAlignment="1">
      <alignment horizontal="center"/>
    </xf>
    <xf numFmtId="4" fontId="28" fillId="0" borderId="24" xfId="0" applyNumberFormat="1" applyFont="1" applyFill="1" applyBorder="1" applyAlignment="1">
      <alignment horizontal="center"/>
    </xf>
    <xf numFmtId="0" fontId="1" fillId="0" borderId="14" xfId="0" applyNumberFormat="1" applyFont="1" applyFill="1" applyBorder="1" applyAlignment="1">
      <alignment horizontal="right"/>
    </xf>
    <xf numFmtId="0" fontId="1" fillId="0" borderId="45" xfId="0" applyNumberFormat="1" applyFont="1" applyFill="1" applyBorder="1" applyAlignment="1">
      <alignment horizontal="right"/>
    </xf>
    <xf numFmtId="0" fontId="1" fillId="0" borderId="45" xfId="0" applyNumberFormat="1" applyFont="1" applyFill="1" applyBorder="1" applyAlignment="1">
      <alignment horizontal="left"/>
    </xf>
    <xf numFmtId="0" fontId="1" fillId="0" borderId="50" xfId="0" applyNumberFormat="1" applyFont="1" applyFill="1" applyBorder="1" applyAlignment="1">
      <alignment horizontal="left"/>
    </xf>
    <xf numFmtId="4" fontId="28" fillId="0" borderId="20" xfId="0" applyNumberFormat="1" applyFont="1" applyFill="1" applyBorder="1" applyAlignment="1">
      <alignment horizontal="center"/>
    </xf>
    <xf numFmtId="4" fontId="30" fillId="0" borderId="23" xfId="0" applyNumberFormat="1" applyFont="1" applyFill="1" applyBorder="1" applyAlignment="1">
      <alignment horizontal="center"/>
    </xf>
    <xf numFmtId="4" fontId="30" fillId="0" borderId="19" xfId="0" applyNumberFormat="1" applyFont="1" applyFill="1" applyBorder="1" applyAlignment="1">
      <alignment horizontal="center"/>
    </xf>
    <xf numFmtId="49" fontId="1" fillId="0" borderId="14" xfId="0" applyNumberFormat="1" applyFont="1" applyFill="1" applyBorder="1" applyAlignment="1">
      <alignment horizontal="center" vertical="top"/>
    </xf>
    <xf numFmtId="49" fontId="1" fillId="0" borderId="45" xfId="0" applyNumberFormat="1" applyFont="1" applyFill="1" applyBorder="1" applyAlignment="1">
      <alignment horizontal="center" vertical="top"/>
    </xf>
    <xf numFmtId="49" fontId="1" fillId="0" borderId="50" xfId="0" applyNumberFormat="1" applyFont="1" applyFill="1" applyBorder="1" applyAlignment="1">
      <alignment horizontal="center" vertical="top"/>
    </xf>
    <xf numFmtId="0" fontId="1" fillId="0" borderId="15"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top" wrapText="1"/>
    </xf>
    <xf numFmtId="49" fontId="6" fillId="0" borderId="21"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28" fillId="0" borderId="16" xfId="0" applyNumberFormat="1" applyFont="1" applyFill="1" applyBorder="1" applyAlignment="1">
      <alignment horizontal="center"/>
    </xf>
    <xf numFmtId="4" fontId="30" fillId="0" borderId="35" xfId="0" applyNumberFormat="1" applyFont="1" applyFill="1" applyBorder="1" applyAlignment="1">
      <alignment horizontal="center"/>
    </xf>
    <xf numFmtId="4" fontId="30" fillId="0" borderId="17" xfId="0" applyNumberFormat="1" applyFont="1" applyFill="1" applyBorder="1" applyAlignment="1">
      <alignment horizontal="center"/>
    </xf>
    <xf numFmtId="4" fontId="30" fillId="0" borderId="57" xfId="0" applyNumberFormat="1" applyFont="1" applyFill="1" applyBorder="1" applyAlignment="1">
      <alignment horizontal="center"/>
    </xf>
    <xf numFmtId="4" fontId="30" fillId="0" borderId="58"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9" fontId="28" fillId="0" borderId="11" xfId="0" applyNumberFormat="1" applyFont="1" applyFill="1" applyBorder="1" applyAlignment="1">
      <alignment horizontal="center"/>
    </xf>
    <xf numFmtId="49" fontId="30" fillId="0" borderId="11" xfId="0" applyNumberFormat="1" applyFont="1" applyFill="1" applyBorder="1" applyAlignment="1">
      <alignment horizontal="center"/>
    </xf>
    <xf numFmtId="0" fontId="28" fillId="0" borderId="25" xfId="0" applyNumberFormat="1" applyFont="1" applyFill="1" applyBorder="1" applyAlignment="1">
      <alignment horizontal="center" wrapText="1"/>
    </xf>
    <xf numFmtId="0" fontId="0" fillId="0" borderId="28" xfId="0" applyFill="1" applyBorder="1" applyAlignment="1">
      <alignment horizontal="center"/>
    </xf>
    <xf numFmtId="0" fontId="0" fillId="0" borderId="48" xfId="0" applyFill="1" applyBorder="1" applyAlignment="1">
      <alignment horizontal="center"/>
    </xf>
    <xf numFmtId="0" fontId="1" fillId="0" borderId="25" xfId="0" applyNumberFormat="1" applyFont="1" applyFill="1" applyBorder="1" applyAlignment="1">
      <alignment horizontal="left" wrapText="1"/>
    </xf>
    <xf numFmtId="49" fontId="28" fillId="0" borderId="25" xfId="0" applyNumberFormat="1" applyFont="1" applyFill="1" applyBorder="1" applyAlignment="1">
      <alignment horizontal="center"/>
    </xf>
    <xf numFmtId="49" fontId="28" fillId="0" borderId="28" xfId="0" applyNumberFormat="1" applyFont="1" applyFill="1" applyBorder="1" applyAlignment="1">
      <alignment horizontal="center"/>
    </xf>
    <xf numFmtId="49" fontId="28" fillId="0" borderId="24" xfId="0" applyNumberFormat="1" applyFont="1" applyFill="1" applyBorder="1" applyAlignment="1">
      <alignment horizontal="center"/>
    </xf>
    <xf numFmtId="4" fontId="28" fillId="0" borderId="14" xfId="0" applyNumberFormat="1" applyFont="1" applyFill="1" applyBorder="1" applyAlignment="1">
      <alignment horizontal="center"/>
    </xf>
    <xf numFmtId="4" fontId="30" fillId="0" borderId="45" xfId="0" applyNumberFormat="1" applyFont="1" applyFill="1" applyBorder="1" applyAlignment="1">
      <alignment horizontal="center"/>
    </xf>
    <xf numFmtId="4" fontId="30" fillId="0" borderId="50" xfId="0" applyNumberFormat="1" applyFont="1" applyFill="1" applyBorder="1" applyAlignment="1">
      <alignment horizontal="center"/>
    </xf>
    <xf numFmtId="4" fontId="30" fillId="0" borderId="54" xfId="0" applyNumberFormat="1" applyFont="1" applyFill="1" applyBorder="1" applyAlignment="1">
      <alignment horizontal="center"/>
    </xf>
    <xf numFmtId="4" fontId="30" fillId="0" borderId="55" xfId="0" applyNumberFormat="1" applyFont="1" applyFill="1" applyBorder="1" applyAlignment="1">
      <alignment horizontal="center"/>
    </xf>
    <xf numFmtId="4" fontId="30" fillId="0" borderId="56"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0" fontId="27" fillId="0" borderId="13" xfId="0" applyNumberFormat="1" applyFont="1" applyFill="1" applyBorder="1" applyAlignment="1">
      <alignment horizontal="center"/>
    </xf>
    <xf numFmtId="0" fontId="31" fillId="0" borderId="13"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4"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38" xfId="0" applyNumberFormat="1" applyFont="1" applyFill="1" applyBorder="1" applyAlignment="1">
      <alignment horizontal="center"/>
    </xf>
    <xf numFmtId="0" fontId="1" fillId="0" borderId="0" xfId="0" applyNumberFormat="1" applyFont="1" applyFill="1" applyBorder="1" applyAlignment="1">
      <alignment horizontal="center"/>
    </xf>
    <xf numFmtId="0" fontId="4" fillId="0" borderId="59" xfId="0" applyNumberFormat="1" applyFont="1" applyFill="1" applyBorder="1" applyAlignment="1">
      <alignment horizontal="center" vertical="top"/>
    </xf>
    <xf numFmtId="0" fontId="4" fillId="0" borderId="45" xfId="0" applyNumberFormat="1" applyFont="1" applyFill="1" applyBorder="1" applyAlignment="1">
      <alignment horizontal="center" vertical="top"/>
    </xf>
    <xf numFmtId="0" fontId="4" fillId="0" borderId="60" xfId="0" applyNumberFormat="1" applyFont="1" applyFill="1" applyBorder="1" applyAlignment="1">
      <alignment horizontal="center" vertical="top"/>
    </xf>
    <xf numFmtId="0" fontId="14"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27" fillId="0" borderId="61" xfId="0" applyNumberFormat="1" applyFont="1" applyFill="1" applyBorder="1" applyAlignment="1">
      <alignment horizontal="center"/>
    </xf>
    <xf numFmtId="0" fontId="31" fillId="0" borderId="62" xfId="0" applyNumberFormat="1" applyFont="1" applyFill="1" applyBorder="1" applyAlignment="1">
      <alignment horizontal="center"/>
    </xf>
    <xf numFmtId="49" fontId="27" fillId="0" borderId="13" xfId="0" applyNumberFormat="1" applyFont="1" applyFill="1" applyBorder="1" applyAlignment="1">
      <alignment horizontal="center"/>
    </xf>
    <xf numFmtId="49" fontId="31" fillId="0" borderId="13" xfId="0" applyNumberFormat="1" applyFont="1" applyFill="1" applyBorder="1" applyAlignment="1">
      <alignment horizontal="center"/>
    </xf>
    <xf numFmtId="0" fontId="27" fillId="0" borderId="61" xfId="0" applyNumberFormat="1" applyFont="1" applyFill="1" applyBorder="1" applyAlignment="1">
      <alignment horizontal="left"/>
    </xf>
    <xf numFmtId="0" fontId="31" fillId="0" borderId="13" xfId="0" applyNumberFormat="1" applyFont="1" applyFill="1" applyBorder="1" applyAlignment="1">
      <alignment horizontal="left"/>
    </xf>
    <xf numFmtId="0" fontId="31" fillId="0" borderId="62" xfId="0" applyNumberFormat="1" applyFont="1" applyFill="1" applyBorder="1" applyAlignment="1">
      <alignment horizontal="left"/>
    </xf>
    <xf numFmtId="49" fontId="1" fillId="0" borderId="49" xfId="0" applyNumberFormat="1" applyFont="1" applyFill="1" applyBorder="1" applyAlignment="1">
      <alignment horizontal="center"/>
    </xf>
    <xf numFmtId="49" fontId="1" fillId="0" borderId="63" xfId="0" applyNumberFormat="1" applyFont="1" applyFill="1" applyBorder="1" applyAlignment="1">
      <alignment horizontal="center"/>
    </xf>
    <xf numFmtId="4" fontId="30" fillId="0" borderId="51" xfId="0" applyNumberFormat="1" applyFont="1" applyFill="1" applyBorder="1" applyAlignment="1">
      <alignment horizontal="center"/>
    </xf>
    <xf numFmtId="4" fontId="30" fillId="0" borderId="64"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0" fontId="1" fillId="0" borderId="51" xfId="0" applyNumberFormat="1" applyFont="1" applyFill="1" applyBorder="1" applyAlignment="1">
      <alignment horizontal="left" indent="4"/>
    </xf>
    <xf numFmtId="0" fontId="19" fillId="36" borderId="14" xfId="0" applyFont="1" applyFill="1" applyBorder="1" applyAlignment="1">
      <alignment horizontal="left" vertical="top"/>
    </xf>
    <xf numFmtId="0" fontId="19" fillId="36" borderId="45" xfId="0" applyFont="1" applyFill="1" applyBorder="1" applyAlignment="1">
      <alignment horizontal="left" vertical="top"/>
    </xf>
    <xf numFmtId="0" fontId="19" fillId="36" borderId="50" xfId="0" applyFont="1" applyFill="1" applyBorder="1" applyAlignment="1">
      <alignment horizontal="left" vertical="top"/>
    </xf>
    <xf numFmtId="0" fontId="19" fillId="36" borderId="11" xfId="0" applyFont="1" applyFill="1" applyBorder="1" applyAlignment="1">
      <alignment horizontal="center"/>
    </xf>
    <xf numFmtId="4" fontId="19" fillId="36" borderId="11" xfId="0" applyNumberFormat="1" applyFont="1" applyFill="1" applyBorder="1" applyAlignment="1">
      <alignment horizontal="center"/>
    </xf>
    <xf numFmtId="4" fontId="19" fillId="36" borderId="25" xfId="0" applyNumberFormat="1" applyFont="1" applyFill="1" applyBorder="1" applyAlignment="1">
      <alignment horizontal="center"/>
    </xf>
    <xf numFmtId="4" fontId="19" fillId="36" borderId="24" xfId="0" applyNumberFormat="1" applyFont="1" applyFill="1" applyBorder="1" applyAlignment="1">
      <alignment horizontal="center"/>
    </xf>
    <xf numFmtId="0" fontId="19" fillId="36" borderId="25" xfId="0" applyFont="1" applyFill="1" applyBorder="1" applyAlignment="1">
      <alignment horizontal="center"/>
    </xf>
    <xf numFmtId="0" fontId="19" fillId="36" borderId="28" xfId="0" applyFont="1" applyFill="1" applyBorder="1" applyAlignment="1">
      <alignment horizontal="center"/>
    </xf>
    <xf numFmtId="0" fontId="19" fillId="36" borderId="24" xfId="0" applyFont="1" applyFill="1" applyBorder="1" applyAlignment="1">
      <alignment horizontal="center"/>
    </xf>
    <xf numFmtId="0" fontId="19" fillId="36" borderId="25" xfId="0" applyFont="1" applyFill="1" applyBorder="1" applyAlignment="1">
      <alignment horizontal="center" wrapText="1"/>
    </xf>
    <xf numFmtId="0" fontId="19" fillId="36" borderId="24" xfId="0" applyFont="1" applyFill="1" applyBorder="1" applyAlignment="1">
      <alignment horizontal="center" wrapText="1"/>
    </xf>
    <xf numFmtId="0" fontId="19" fillId="36" borderId="28" xfId="0" applyFont="1" applyFill="1" applyBorder="1" applyAlignment="1">
      <alignment horizontal="center" wrapText="1"/>
    </xf>
    <xf numFmtId="0" fontId="19" fillId="36" borderId="11" xfId="54" applyFont="1" applyFill="1" applyBorder="1" applyAlignment="1">
      <alignment horizontal="left"/>
      <protection/>
    </xf>
    <xf numFmtId="2" fontId="19" fillId="36" borderId="11" xfId="54" applyNumberFormat="1" applyFont="1" applyFill="1" applyBorder="1" applyAlignment="1">
      <alignment horizontal="center"/>
      <protection/>
    </xf>
    <xf numFmtId="2" fontId="19" fillId="36" borderId="11" xfId="54" applyNumberFormat="1" applyFont="1" applyFill="1" applyBorder="1" applyAlignment="1">
      <alignment horizontal="center" wrapText="1"/>
      <protection/>
    </xf>
    <xf numFmtId="0" fontId="19" fillId="36" borderId="11" xfId="54" applyFont="1" applyFill="1" applyBorder="1" applyAlignment="1">
      <alignment horizontal="center"/>
      <protection/>
    </xf>
    <xf numFmtId="0" fontId="19" fillId="36" borderId="25" xfId="54" applyFont="1" applyFill="1" applyBorder="1" applyAlignment="1">
      <alignment horizontal="left" wrapText="1"/>
      <protection/>
    </xf>
    <xf numFmtId="0" fontId="19" fillId="36" borderId="28" xfId="54" applyFont="1" applyFill="1" applyBorder="1" applyAlignment="1">
      <alignment horizontal="left" wrapText="1"/>
      <protection/>
    </xf>
    <xf numFmtId="0" fontId="19" fillId="36" borderId="24" xfId="54" applyFont="1" applyFill="1" applyBorder="1" applyAlignment="1">
      <alignment horizontal="left" wrapText="1"/>
      <protection/>
    </xf>
    <xf numFmtId="0" fontId="51" fillId="36" borderId="25" xfId="54" applyFill="1" applyBorder="1" applyAlignment="1">
      <alignment horizontal="center"/>
      <protection/>
    </xf>
    <xf numFmtId="0" fontId="51" fillId="36" borderId="24" xfId="54" applyFill="1" applyBorder="1" applyAlignment="1">
      <alignment horizontal="center"/>
      <protection/>
    </xf>
    <xf numFmtId="4" fontId="51" fillId="36" borderId="25" xfId="54" applyNumberFormat="1" applyFill="1" applyBorder="1" applyAlignment="1">
      <alignment horizontal="center"/>
      <protection/>
    </xf>
    <xf numFmtId="4" fontId="51" fillId="36" borderId="24" xfId="54" applyNumberFormat="1" applyFill="1" applyBorder="1" applyAlignment="1">
      <alignment horizontal="center"/>
      <protection/>
    </xf>
    <xf numFmtId="0" fontId="19" fillId="36" borderId="25" xfId="54" applyFont="1" applyFill="1" applyBorder="1" applyAlignment="1">
      <alignment horizontal="left"/>
      <protection/>
    </xf>
    <xf numFmtId="0" fontId="19" fillId="36" borderId="28" xfId="54" applyFont="1" applyFill="1" applyBorder="1" applyAlignment="1">
      <alignment horizontal="left"/>
      <protection/>
    </xf>
    <xf numFmtId="0" fontId="19" fillId="36" borderId="24" xfId="54" applyFont="1" applyFill="1" applyBorder="1" applyAlignment="1">
      <alignment horizontal="left"/>
      <protection/>
    </xf>
    <xf numFmtId="4" fontId="19" fillId="36" borderId="11" xfId="54" applyNumberFormat="1" applyFont="1" applyFill="1" applyBorder="1" applyAlignment="1">
      <alignment horizontal="center"/>
      <protection/>
    </xf>
    <xf numFmtId="0" fontId="19" fillId="36" borderId="11" xfId="54" applyFont="1" applyFill="1" applyBorder="1" applyAlignment="1">
      <alignment horizontal="center" wrapText="1"/>
      <protection/>
    </xf>
    <xf numFmtId="4" fontId="19" fillId="36" borderId="25" xfId="54" applyNumberFormat="1" applyFont="1" applyFill="1" applyBorder="1" applyAlignment="1">
      <alignment horizontal="center"/>
      <protection/>
    </xf>
    <xf numFmtId="0" fontId="51" fillId="36" borderId="24" xfId="54" applyFill="1" applyBorder="1">
      <alignment/>
      <protection/>
    </xf>
    <xf numFmtId="4" fontId="19" fillId="36" borderId="24" xfId="54" applyNumberFormat="1" applyFont="1" applyFill="1" applyBorder="1" applyAlignment="1">
      <alignment horizontal="center"/>
      <protection/>
    </xf>
    <xf numFmtId="0" fontId="19" fillId="36" borderId="25" xfId="54" applyFont="1" applyFill="1" applyBorder="1" applyAlignment="1">
      <alignment horizontal="center" wrapText="1"/>
      <protection/>
    </xf>
    <xf numFmtId="0" fontId="19" fillId="36" borderId="28" xfId="54" applyFont="1" applyFill="1" applyBorder="1" applyAlignment="1">
      <alignment horizontal="center" wrapText="1"/>
      <protection/>
    </xf>
    <xf numFmtId="0" fontId="19" fillId="36" borderId="24" xfId="54" applyFont="1" applyFill="1" applyBorder="1" applyAlignment="1">
      <alignment horizontal="center" wrapText="1"/>
      <protection/>
    </xf>
    <xf numFmtId="4" fontId="22" fillId="36" borderId="11" xfId="54" applyNumberFormat="1" applyFont="1" applyFill="1" applyBorder="1" applyAlignment="1">
      <alignment horizontal="center"/>
      <protection/>
    </xf>
    <xf numFmtId="0" fontId="19" fillId="36" borderId="25" xfId="54" applyFont="1" applyFill="1" applyBorder="1" applyAlignment="1">
      <alignment/>
      <protection/>
    </xf>
    <xf numFmtId="0" fontId="19" fillId="36" borderId="24" xfId="54" applyFont="1" applyFill="1" applyBorder="1" applyAlignment="1">
      <alignment/>
      <protection/>
    </xf>
    <xf numFmtId="4" fontId="19" fillId="36" borderId="25" xfId="54" applyNumberFormat="1" applyFont="1" applyFill="1" applyBorder="1" applyAlignment="1">
      <alignment/>
      <protection/>
    </xf>
    <xf numFmtId="4" fontId="19" fillId="36" borderId="24" xfId="54" applyNumberFormat="1" applyFont="1" applyFill="1" applyBorder="1" applyAlignment="1">
      <alignment/>
      <protection/>
    </xf>
    <xf numFmtId="0" fontId="17" fillId="36" borderId="25" xfId="55" applyFill="1" applyBorder="1" applyAlignment="1">
      <alignment horizontal="center"/>
      <protection/>
    </xf>
    <xf numFmtId="0" fontId="0" fillId="36" borderId="24" xfId="0" applyFill="1" applyBorder="1" applyAlignment="1">
      <alignment/>
    </xf>
    <xf numFmtId="0" fontId="19" fillId="36" borderId="11" xfId="55" applyFont="1" applyFill="1" applyBorder="1" applyAlignment="1">
      <alignment horizontal="center"/>
      <protection/>
    </xf>
    <xf numFmtId="0" fontId="19" fillId="36" borderId="11" xfId="54" applyFont="1" applyFill="1" applyBorder="1" applyAlignment="1">
      <alignment horizontal="center" vertical="center" wrapText="1"/>
      <protection/>
    </xf>
    <xf numFmtId="4" fontId="19" fillId="36" borderId="28" xfId="54" applyNumberFormat="1" applyFont="1" applyFill="1" applyBorder="1" applyAlignment="1">
      <alignment horizontal="center"/>
      <protection/>
    </xf>
    <xf numFmtId="0" fontId="20" fillId="36" borderId="11" xfId="54" applyFont="1" applyFill="1" applyBorder="1" applyAlignment="1">
      <alignment horizontal="left"/>
      <protection/>
    </xf>
    <xf numFmtId="0" fontId="20" fillId="36" borderId="11" xfId="54" applyFont="1" applyFill="1" applyBorder="1" applyAlignment="1">
      <alignment horizontal="center"/>
      <protection/>
    </xf>
    <xf numFmtId="0" fontId="19" fillId="36" borderId="25" xfId="54" applyFont="1" applyFill="1" applyBorder="1" applyAlignment="1">
      <alignment horizontal="center"/>
      <protection/>
    </xf>
    <xf numFmtId="0" fontId="19" fillId="36" borderId="24" xfId="54" applyFont="1" applyFill="1" applyBorder="1" applyAlignment="1">
      <alignment horizontal="center"/>
      <protection/>
    </xf>
    <xf numFmtId="0" fontId="19" fillId="36" borderId="11" xfId="55" applyNumberFormat="1" applyFont="1" applyFill="1" applyBorder="1" applyAlignment="1">
      <alignment horizontal="center"/>
      <protection/>
    </xf>
    <xf numFmtId="0" fontId="19" fillId="36" borderId="25" xfId="55" applyFont="1" applyFill="1" applyBorder="1" applyAlignment="1">
      <alignment horizontal="center"/>
      <protection/>
    </xf>
    <xf numFmtId="0" fontId="19" fillId="36" borderId="28" xfId="55" applyFont="1" applyFill="1" applyBorder="1" applyAlignment="1">
      <alignment horizontal="center"/>
      <protection/>
    </xf>
    <xf numFmtId="0" fontId="19" fillId="36" borderId="24" xfId="55" applyFont="1" applyFill="1" applyBorder="1" applyAlignment="1">
      <alignment horizontal="center"/>
      <protection/>
    </xf>
    <xf numFmtId="0" fontId="24" fillId="36" borderId="25" xfId="55" applyFont="1" applyFill="1" applyBorder="1" applyAlignment="1">
      <alignment horizontal="center"/>
      <protection/>
    </xf>
    <xf numFmtId="0" fontId="24" fillId="36" borderId="28" xfId="55" applyFont="1" applyFill="1" applyBorder="1" applyAlignment="1">
      <alignment horizontal="center"/>
      <protection/>
    </xf>
    <xf numFmtId="0" fontId="24" fillId="36" borderId="24" xfId="55" applyFont="1" applyFill="1" applyBorder="1" applyAlignment="1">
      <alignment horizontal="center"/>
      <protection/>
    </xf>
    <xf numFmtId="0" fontId="19" fillId="36" borderId="11" xfId="55" applyFont="1" applyFill="1" applyBorder="1" applyAlignment="1">
      <alignment horizontal="left"/>
      <protection/>
    </xf>
    <xf numFmtId="4" fontId="19" fillId="36" borderId="11" xfId="55" applyNumberFormat="1" applyFont="1" applyFill="1" applyBorder="1" applyAlignment="1">
      <alignment horizontal="center"/>
      <protection/>
    </xf>
    <xf numFmtId="0" fontId="19" fillId="36" borderId="25" xfId="55" applyFont="1" applyFill="1" applyBorder="1" applyAlignment="1">
      <alignment horizontal="left"/>
      <protection/>
    </xf>
    <xf numFmtId="0" fontId="19" fillId="36" borderId="28" xfId="55" applyFont="1" applyFill="1" applyBorder="1" applyAlignment="1">
      <alignment horizontal="left"/>
      <protection/>
    </xf>
    <xf numFmtId="0" fontId="19" fillId="36" borderId="24" xfId="55" applyFont="1" applyFill="1" applyBorder="1" applyAlignment="1">
      <alignment horizontal="left"/>
      <protection/>
    </xf>
    <xf numFmtId="0" fontId="17" fillId="36" borderId="24" xfId="55" applyFill="1" applyBorder="1" applyAlignment="1">
      <alignment horizontal="center"/>
      <protection/>
    </xf>
    <xf numFmtId="0" fontId="19" fillId="36" borderId="25" xfId="55" applyFont="1" applyFill="1" applyBorder="1" applyAlignment="1">
      <alignment horizontal="center" wrapText="1"/>
      <protection/>
    </xf>
    <xf numFmtId="0" fontId="19" fillId="36" borderId="24" xfId="55" applyFont="1" applyFill="1" applyBorder="1" applyAlignment="1">
      <alignment horizontal="center" wrapText="1"/>
      <protection/>
    </xf>
    <xf numFmtId="4" fontId="17" fillId="36" borderId="25" xfId="55" applyNumberFormat="1" applyFill="1" applyBorder="1" applyAlignment="1">
      <alignment horizontal="center"/>
      <protection/>
    </xf>
    <xf numFmtId="4" fontId="17" fillId="36" borderId="24" xfId="55" applyNumberFormat="1" applyFill="1" applyBorder="1" applyAlignment="1">
      <alignment horizontal="center"/>
      <protection/>
    </xf>
    <xf numFmtId="4" fontId="19" fillId="36" borderId="25" xfId="55" applyNumberFormat="1" applyFont="1" applyFill="1" applyBorder="1" applyAlignment="1">
      <alignment horizontal="center"/>
      <protection/>
    </xf>
    <xf numFmtId="4" fontId="19" fillId="36" borderId="24" xfId="55" applyNumberFormat="1" applyFont="1" applyFill="1" applyBorder="1" applyAlignment="1">
      <alignment horizontal="center"/>
      <protection/>
    </xf>
    <xf numFmtId="0" fontId="24" fillId="36" borderId="11" xfId="55" applyFont="1" applyFill="1" applyBorder="1" applyAlignment="1">
      <alignment horizontal="center"/>
      <protection/>
    </xf>
    <xf numFmtId="0" fontId="19" fillId="36" borderId="25" xfId="55" applyNumberFormat="1" applyFont="1" applyFill="1" applyBorder="1" applyAlignment="1">
      <alignment horizontal="center"/>
      <protection/>
    </xf>
    <xf numFmtId="0" fontId="19" fillId="36" borderId="24" xfId="55" applyNumberFormat="1" applyFont="1" applyFill="1" applyBorder="1" applyAlignment="1">
      <alignment horizontal="center"/>
      <protection/>
    </xf>
    <xf numFmtId="0" fontId="24" fillId="36" borderId="11" xfId="54" applyFont="1" applyFill="1" applyBorder="1" applyAlignment="1">
      <alignment horizontal="center"/>
      <protection/>
    </xf>
    <xf numFmtId="0" fontId="19" fillId="36" borderId="11" xfId="54" applyFont="1" applyFill="1" applyBorder="1" applyAlignment="1">
      <alignment horizontal="center" vertical="center"/>
      <protection/>
    </xf>
    <xf numFmtId="4" fontId="24" fillId="36" borderId="11" xfId="55" applyNumberFormat="1" applyFont="1" applyFill="1" applyBorder="1" applyAlignment="1">
      <alignment horizontal="center"/>
      <protection/>
    </xf>
    <xf numFmtId="0" fontId="19" fillId="36" borderId="11" xfId="55" applyFont="1" applyFill="1" applyBorder="1" applyAlignment="1">
      <alignment horizontal="center" wrapText="1"/>
      <protection/>
    </xf>
    <xf numFmtId="0" fontId="19" fillId="36" borderId="28" xfId="54" applyFont="1" applyFill="1" applyBorder="1" applyAlignment="1">
      <alignment horizontal="center"/>
      <protection/>
    </xf>
    <xf numFmtId="0" fontId="19" fillId="36" borderId="0" xfId="54" applyFont="1" applyFill="1" applyAlignment="1">
      <alignment horizontal="center" wrapText="1"/>
      <protection/>
    </xf>
    <xf numFmtId="0" fontId="19" fillId="36" borderId="11" xfId="54" applyFont="1" applyFill="1" applyBorder="1" applyAlignment="1">
      <alignment horizontal="left" wrapText="1"/>
      <protection/>
    </xf>
    <xf numFmtId="4" fontId="24" fillId="36" borderId="11" xfId="54" applyNumberFormat="1" applyFont="1" applyFill="1" applyBorder="1" applyAlignment="1">
      <alignment horizontal="center"/>
      <protection/>
    </xf>
    <xf numFmtId="4" fontId="24" fillId="36" borderId="25" xfId="55" applyNumberFormat="1" applyFont="1" applyFill="1" applyBorder="1" applyAlignment="1">
      <alignment horizontal="center"/>
      <protection/>
    </xf>
    <xf numFmtId="4" fontId="24" fillId="36" borderId="24" xfId="55" applyNumberFormat="1" applyFont="1" applyFill="1" applyBorder="1" applyAlignment="1">
      <alignment horizontal="center"/>
      <protection/>
    </xf>
    <xf numFmtId="4" fontId="19" fillId="37" borderId="11" xfId="54" applyNumberFormat="1" applyFont="1" applyFill="1" applyBorder="1" applyAlignment="1">
      <alignment horizontal="center"/>
      <protection/>
    </xf>
    <xf numFmtId="4" fontId="22" fillId="37" borderId="11" xfId="54" applyNumberFormat="1" applyFont="1" applyFill="1" applyBorder="1" applyAlignment="1">
      <alignment horizontal="center"/>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Обычный_приложения" xfId="56"/>
    <cellStyle name="Обычный_ПФХД 2012 год (ред.)"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3"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K33"/>
  <sheetViews>
    <sheetView showGridLines="0" view="pageBreakPreview" zoomScaleSheetLayoutView="100" workbookViewId="0" topLeftCell="A10">
      <selection activeCell="BT13" sqref="BT13"/>
    </sheetView>
  </sheetViews>
  <sheetFormatPr defaultColWidth="0.875" defaultRowHeight="12.75"/>
  <cols>
    <col min="1" max="9" width="0.875" style="1" customWidth="1"/>
    <col min="10" max="10" width="4.625" style="1" customWidth="1"/>
    <col min="11" max="25" width="0.875" style="1" customWidth="1"/>
    <col min="26" max="26" width="10.00390625" style="1" customWidth="1"/>
    <col min="27" max="96" width="0.875" style="1" customWidth="1"/>
    <col min="97" max="97" width="0.875" style="1" hidden="1" customWidth="1"/>
    <col min="98" max="100" width="0.875" style="1" customWidth="1"/>
    <col min="101" max="101" width="10.875" style="1" customWidth="1"/>
    <col min="102" max="102" width="14.125" style="1" customWidth="1"/>
    <col min="103" max="103" width="13.875" style="1" customWidth="1"/>
    <col min="104" max="104" width="8.875" style="1" customWidth="1"/>
    <col min="105" max="16384" width="0.875" style="1" customWidth="1"/>
  </cols>
  <sheetData>
    <row r="1" ht="12">
      <c r="CX1" s="21" t="s">
        <v>263</v>
      </c>
    </row>
    <row r="2" ht="12">
      <c r="CX2" s="20" t="s">
        <v>264</v>
      </c>
    </row>
    <row r="3" ht="11.25">
      <c r="CX3" s="1" t="s">
        <v>265</v>
      </c>
    </row>
    <row r="4" ht="11.25">
      <c r="CX4" s="1" t="s">
        <v>266</v>
      </c>
    </row>
    <row r="5" spans="102:104" ht="11.25">
      <c r="CX5" s="92" t="s">
        <v>403</v>
      </c>
      <c r="CY5" s="92"/>
      <c r="CZ5" s="92"/>
    </row>
    <row r="6" ht="11.25">
      <c r="CX6" s="1" t="s">
        <v>267</v>
      </c>
    </row>
    <row r="7" ht="11.25">
      <c r="CX7" s="1" t="s">
        <v>404</v>
      </c>
    </row>
    <row r="8" ht="11.25">
      <c r="CX8" s="1" t="s">
        <v>268</v>
      </c>
    </row>
    <row r="9" ht="11.25">
      <c r="CX9" s="1" t="s">
        <v>452</v>
      </c>
    </row>
    <row r="11" spans="103:104" s="2" customFormat="1" ht="10.5">
      <c r="CY11" s="216"/>
      <c r="CZ11" s="216"/>
    </row>
    <row r="12" spans="103:104" s="2" customFormat="1" ht="15.75">
      <c r="CY12" s="10" t="s">
        <v>19</v>
      </c>
      <c r="CZ12" s="9"/>
    </row>
    <row r="13" spans="103:104" s="2" customFormat="1" ht="15.75">
      <c r="CY13" s="10"/>
      <c r="CZ13" s="9"/>
    </row>
    <row r="14" spans="94:115" s="3" customFormat="1" ht="11.25" customHeight="1">
      <c r="CP14" s="214" t="s">
        <v>527</v>
      </c>
      <c r="CQ14" s="214"/>
      <c r="CR14" s="214"/>
      <c r="CS14" s="214"/>
      <c r="CT14" s="214"/>
      <c r="CU14" s="214"/>
      <c r="CV14" s="214"/>
      <c r="CW14" s="214"/>
      <c r="CX14" s="214"/>
      <c r="CY14" s="214"/>
      <c r="CZ14" s="214"/>
      <c r="DA14" s="11"/>
      <c r="DB14" s="11"/>
      <c r="DC14" s="11"/>
      <c r="DD14" s="11"/>
      <c r="DE14" s="11"/>
      <c r="DF14" s="11"/>
      <c r="DG14" s="11"/>
      <c r="DH14" s="11"/>
      <c r="DI14" s="11"/>
      <c r="DJ14" s="11"/>
      <c r="DK14" s="11"/>
    </row>
    <row r="15" spans="102:104" s="2" customFormat="1" ht="12" customHeight="1">
      <c r="CX15" s="217" t="s">
        <v>237</v>
      </c>
      <c r="CY15" s="217"/>
      <c r="CZ15" s="217"/>
    </row>
    <row r="16" spans="102:104" s="3" customFormat="1" ht="12">
      <c r="CX16" s="8"/>
      <c r="CY16" s="218" t="s">
        <v>554</v>
      </c>
      <c r="CZ16" s="218"/>
    </row>
    <row r="17" spans="102:104" s="2" customFormat="1" ht="12" customHeight="1">
      <c r="CX17" s="217" t="s">
        <v>238</v>
      </c>
      <c r="CY17" s="217"/>
      <c r="CZ17" s="217"/>
    </row>
    <row r="18" spans="102:104" ht="16.5" customHeight="1">
      <c r="CX18" s="216" t="str">
        <f>BG26</f>
        <v>от  "31" декабря 2021г.</v>
      </c>
      <c r="CY18" s="216"/>
      <c r="CZ18" s="216"/>
    </row>
    <row r="19" spans="102:104" ht="16.5" customHeight="1">
      <c r="CX19" s="5"/>
      <c r="CY19" s="5"/>
      <c r="CZ19" s="5"/>
    </row>
    <row r="20" spans="102:104" ht="16.5" customHeight="1">
      <c r="CX20" s="5"/>
      <c r="CY20" s="5"/>
      <c r="CZ20" s="5"/>
    </row>
    <row r="21" spans="102:104" ht="16.5" customHeight="1">
      <c r="CX21" s="5"/>
      <c r="CY21" s="5"/>
      <c r="CZ21" s="5"/>
    </row>
    <row r="22" spans="102:104" ht="9" customHeight="1">
      <c r="CX22" s="5"/>
      <c r="CY22" s="5"/>
      <c r="CZ22" s="5"/>
    </row>
    <row r="23" spans="1:101" s="4" customFormat="1" ht="20.2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215" t="s">
        <v>462</v>
      </c>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row>
    <row r="24" spans="1:109" s="4" customFormat="1" ht="20.2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3"/>
      <c r="AZ24" s="13"/>
      <c r="BA24" s="13"/>
      <c r="BB24" s="13" t="s">
        <v>463</v>
      </c>
      <c r="BC24" s="13"/>
      <c r="BD24" s="13"/>
      <c r="BE24" s="13"/>
      <c r="BF24" s="13"/>
      <c r="BG24" s="13"/>
      <c r="BH24" s="13"/>
      <c r="BI24" s="13"/>
      <c r="BJ24" s="13"/>
      <c r="BK24" s="13"/>
      <c r="BL24" s="13"/>
      <c r="BM24" s="13"/>
      <c r="BN24" s="13"/>
      <c r="BO24" s="13"/>
      <c r="BP24" s="13"/>
      <c r="BQ24" s="13"/>
      <c r="BR24" s="13"/>
      <c r="BS24" s="13"/>
      <c r="BT24" s="13"/>
      <c r="BU24" s="13"/>
      <c r="BV24" s="13"/>
      <c r="BW24" s="13"/>
      <c r="BX24" s="14"/>
      <c r="BY24" s="14"/>
      <c r="BZ24" s="14"/>
      <c r="CA24" s="14"/>
      <c r="CB24" s="13"/>
      <c r="CC24" s="13"/>
      <c r="CD24" s="13"/>
      <c r="CE24" s="13"/>
      <c r="CF24" s="13"/>
      <c r="CG24" s="14"/>
      <c r="CH24" s="14"/>
      <c r="CI24" s="14"/>
      <c r="CJ24" s="13"/>
      <c r="CK24" s="13"/>
      <c r="CL24" s="12"/>
      <c r="CM24" s="12"/>
      <c r="CN24" s="12"/>
      <c r="CO24" s="12"/>
      <c r="CP24" s="12"/>
      <c r="CS24" s="7"/>
      <c r="CW24" s="213"/>
      <c r="CX24" s="213"/>
      <c r="CY24" s="213"/>
      <c r="CZ24" s="213"/>
      <c r="DA24" s="213"/>
      <c r="DB24" s="213"/>
      <c r="DC24" s="213"/>
      <c r="DD24" s="213"/>
      <c r="DE24" s="213"/>
    </row>
    <row r="25" spans="1:104" ht="1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Z25" s="6" t="s">
        <v>239</v>
      </c>
    </row>
    <row r="26" spans="1:104" ht="16.5"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1" t="s">
        <v>552</v>
      </c>
      <c r="BH26" s="11"/>
      <c r="BI26" s="11"/>
      <c r="BJ26" s="11"/>
      <c r="BK26" s="14"/>
      <c r="BL26" s="14"/>
      <c r="BM26" s="14"/>
      <c r="BN26" s="11"/>
      <c r="BO26" s="11"/>
      <c r="BP26" s="15"/>
      <c r="BQ26" s="14"/>
      <c r="BR26" s="14"/>
      <c r="BS26" s="14"/>
      <c r="BT26" s="14"/>
      <c r="BU26" s="14"/>
      <c r="BV26" s="14"/>
      <c r="BW26" s="14"/>
      <c r="BX26" s="14"/>
      <c r="BY26" s="14"/>
      <c r="BZ26" s="14"/>
      <c r="CA26" s="14"/>
      <c r="CB26" s="14"/>
      <c r="CC26" s="14"/>
      <c r="CD26" s="14"/>
      <c r="CE26" s="14"/>
      <c r="CF26" s="11"/>
      <c r="CG26" s="11"/>
      <c r="CH26" s="11"/>
      <c r="CI26" s="14"/>
      <c r="CJ26" s="14"/>
      <c r="CK26" s="14"/>
      <c r="CL26" s="15"/>
      <c r="CM26" s="15"/>
      <c r="CN26" s="15"/>
      <c r="CO26" s="15"/>
      <c r="CP26" s="15"/>
      <c r="CQ26" s="15"/>
      <c r="CR26" s="15"/>
      <c r="CS26" s="15"/>
      <c r="CT26" s="15"/>
      <c r="CU26" s="15"/>
      <c r="CV26" s="15"/>
      <c r="CW26" s="15"/>
      <c r="CY26" s="17" t="s">
        <v>20</v>
      </c>
      <c r="CZ26" s="18" t="s">
        <v>553</v>
      </c>
    </row>
    <row r="27" spans="1:104" ht="18" customHeight="1">
      <c r="A27" s="211" t="s">
        <v>23</v>
      </c>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Y27" s="17" t="s">
        <v>21</v>
      </c>
      <c r="CZ27" s="18"/>
    </row>
    <row r="28" spans="1:104" ht="11.25" customHeight="1">
      <c r="A28" s="15" t="s">
        <v>24</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212" t="s">
        <v>269</v>
      </c>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Y28" s="17" t="s">
        <v>22</v>
      </c>
      <c r="CZ28" s="18" t="s">
        <v>370</v>
      </c>
    </row>
    <row r="29" spans="1:104" ht="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Y29" s="17" t="s">
        <v>21</v>
      </c>
      <c r="CZ29" s="18"/>
    </row>
    <row r="30" spans="1:104" ht="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Y30" s="17" t="s">
        <v>25</v>
      </c>
      <c r="CZ30" s="18" t="s">
        <v>371</v>
      </c>
    </row>
    <row r="31" spans="1:104" ht="15">
      <c r="A31" s="15" t="s">
        <v>29</v>
      </c>
      <c r="B31" s="15"/>
      <c r="C31" s="15"/>
      <c r="D31" s="15"/>
      <c r="E31" s="15"/>
      <c r="F31" s="15"/>
      <c r="G31" s="15"/>
      <c r="H31" s="15"/>
      <c r="I31" s="15"/>
      <c r="J31" s="15"/>
      <c r="K31" s="93" t="s">
        <v>407</v>
      </c>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Y31" s="17" t="s">
        <v>26</v>
      </c>
      <c r="CZ31" s="18" t="s">
        <v>372</v>
      </c>
    </row>
    <row r="32" spans="1:104" ht="15">
      <c r="A32" s="15"/>
      <c r="B32" s="15"/>
      <c r="C32" s="15"/>
      <c r="D32" s="15"/>
      <c r="E32" s="15"/>
      <c r="F32" s="15"/>
      <c r="G32" s="15"/>
      <c r="H32" s="15"/>
      <c r="I32" s="15"/>
      <c r="J32" s="15"/>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Y32" s="17"/>
      <c r="CZ32" s="18"/>
    </row>
    <row r="33" spans="1:104" ht="14.25" customHeight="1">
      <c r="A33" s="15" t="s">
        <v>30</v>
      </c>
      <c r="CY33" s="17" t="s">
        <v>27</v>
      </c>
      <c r="CZ33" s="19" t="s">
        <v>28</v>
      </c>
    </row>
    <row r="34" ht="1.5" customHeight="1"/>
  </sheetData>
  <sheetProtection/>
  <mergeCells count="10">
    <mergeCell ref="A27:AA27"/>
    <mergeCell ref="AB28:CW28"/>
    <mergeCell ref="CW24:DE24"/>
    <mergeCell ref="CP14:CZ14"/>
    <mergeCell ref="AH23:CW23"/>
    <mergeCell ref="CY11:CZ11"/>
    <mergeCell ref="CX18:CZ18"/>
    <mergeCell ref="CX17:CZ17"/>
    <mergeCell ref="CX15:CZ15"/>
    <mergeCell ref="CY16:CZ16"/>
  </mergeCells>
  <printOptions/>
  <pageMargins left="0.1968503937007874" right="0.1968503937007874" top="0.5905511811023623" bottom="0.11811023622047245" header="0.1968503937007874" footer="0.1968503937007874"/>
  <pageSetup cellComments="asDisplayed"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2:FE85"/>
  <sheetViews>
    <sheetView showGridLines="0" view="pageBreakPreview" zoomScaleSheetLayoutView="100" workbookViewId="0" topLeftCell="A19">
      <selection activeCell="CX65" sqref="CX65"/>
    </sheetView>
  </sheetViews>
  <sheetFormatPr defaultColWidth="0.875" defaultRowHeight="12.75"/>
  <cols>
    <col min="1" max="96" width="0.875" style="23" customWidth="1"/>
    <col min="97" max="97" width="0.875" style="23" hidden="1" customWidth="1"/>
    <col min="98" max="99" width="10.625" style="23" customWidth="1"/>
    <col min="100" max="100" width="10.75390625" style="23" customWidth="1"/>
    <col min="101" max="101" width="8.875" style="23" customWidth="1"/>
    <col min="102" max="103" width="10.625" style="23" customWidth="1"/>
    <col min="104" max="104" width="10.75390625" style="23" customWidth="1"/>
    <col min="105" max="105" width="8.875" style="23" customWidth="1"/>
    <col min="106" max="107" width="10.625" style="23" customWidth="1"/>
    <col min="108" max="108" width="10.75390625" style="23" customWidth="1"/>
    <col min="109" max="109" width="8.875" style="23" customWidth="1"/>
    <col min="110" max="111" width="10.625" style="23" customWidth="1"/>
    <col min="112" max="112" width="10.75390625" style="23" customWidth="1"/>
    <col min="113" max="113" width="8.875" style="23" customWidth="1"/>
    <col min="114" max="115" width="10.625" style="23" customWidth="1"/>
    <col min="116" max="116" width="10.75390625" style="23" customWidth="1"/>
    <col min="117" max="117" width="8.875" style="23" customWidth="1"/>
    <col min="118" max="16384" width="0.875" style="23" customWidth="1"/>
  </cols>
  <sheetData>
    <row r="1" ht="1.5" customHeight="1"/>
    <row r="2" spans="1:117" s="25" customFormat="1" ht="10.5">
      <c r="A2" s="302" t="s">
        <v>31</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24"/>
      <c r="CY2" s="24"/>
      <c r="CZ2" s="24"/>
      <c r="DA2" s="24"/>
      <c r="DB2" s="24"/>
      <c r="DC2" s="24"/>
      <c r="DD2" s="24"/>
      <c r="DE2" s="24"/>
      <c r="DF2" s="24"/>
      <c r="DG2" s="24"/>
      <c r="DH2" s="24"/>
      <c r="DI2" s="24"/>
      <c r="DJ2" s="24"/>
      <c r="DK2" s="24"/>
      <c r="DL2" s="24"/>
      <c r="DM2" s="24"/>
    </row>
    <row r="3" ht="2.25" customHeight="1"/>
    <row r="4" spans="1:117" ht="10.5" customHeight="1">
      <c r="A4" s="281" t="s">
        <v>0</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3"/>
      <c r="BX4" s="290" t="s">
        <v>1</v>
      </c>
      <c r="BY4" s="291"/>
      <c r="BZ4" s="291"/>
      <c r="CA4" s="291"/>
      <c r="CB4" s="291"/>
      <c r="CC4" s="291"/>
      <c r="CD4" s="291"/>
      <c r="CE4" s="292"/>
      <c r="CF4" s="290" t="s">
        <v>2</v>
      </c>
      <c r="CG4" s="291"/>
      <c r="CH4" s="291"/>
      <c r="CI4" s="291"/>
      <c r="CJ4" s="291"/>
      <c r="CK4" s="291"/>
      <c r="CL4" s="291"/>
      <c r="CM4" s="291"/>
      <c r="CN4" s="291"/>
      <c r="CO4" s="291"/>
      <c r="CP4" s="291"/>
      <c r="CQ4" s="291"/>
      <c r="CR4" s="292"/>
      <c r="CS4" s="292"/>
      <c r="CT4" s="281" t="s">
        <v>232</v>
      </c>
      <c r="CU4" s="282"/>
      <c r="CV4" s="282"/>
      <c r="CW4" s="283"/>
      <c r="CX4" s="326" t="s">
        <v>233</v>
      </c>
      <c r="CY4" s="327"/>
      <c r="CZ4" s="327"/>
      <c r="DA4" s="328"/>
      <c r="DB4" s="326" t="s">
        <v>233</v>
      </c>
      <c r="DC4" s="327"/>
      <c r="DD4" s="327"/>
      <c r="DE4" s="328"/>
      <c r="DF4" s="326" t="s">
        <v>233</v>
      </c>
      <c r="DG4" s="327"/>
      <c r="DH4" s="327"/>
      <c r="DI4" s="328"/>
      <c r="DJ4" s="326" t="s">
        <v>233</v>
      </c>
      <c r="DK4" s="327"/>
      <c r="DL4" s="327"/>
      <c r="DM4" s="328"/>
    </row>
    <row r="5" spans="1:117" ht="31.5" customHeight="1">
      <c r="A5" s="284"/>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6"/>
      <c r="BX5" s="293"/>
      <c r="BY5" s="294"/>
      <c r="BZ5" s="294"/>
      <c r="CA5" s="294"/>
      <c r="CB5" s="294"/>
      <c r="CC5" s="294"/>
      <c r="CD5" s="294"/>
      <c r="CE5" s="295"/>
      <c r="CF5" s="293"/>
      <c r="CG5" s="294"/>
      <c r="CH5" s="294"/>
      <c r="CI5" s="294"/>
      <c r="CJ5" s="294"/>
      <c r="CK5" s="294"/>
      <c r="CL5" s="294"/>
      <c r="CM5" s="294"/>
      <c r="CN5" s="294"/>
      <c r="CO5" s="294"/>
      <c r="CP5" s="294"/>
      <c r="CQ5" s="294"/>
      <c r="CR5" s="295"/>
      <c r="CS5" s="295"/>
      <c r="CT5" s="287"/>
      <c r="CU5" s="288"/>
      <c r="CV5" s="288"/>
      <c r="CW5" s="289"/>
      <c r="CX5" s="329" t="s">
        <v>234</v>
      </c>
      <c r="CY5" s="330"/>
      <c r="CZ5" s="330"/>
      <c r="DA5" s="331"/>
      <c r="DB5" s="329" t="s">
        <v>235</v>
      </c>
      <c r="DC5" s="330"/>
      <c r="DD5" s="330"/>
      <c r="DE5" s="331"/>
      <c r="DF5" s="329" t="s">
        <v>56</v>
      </c>
      <c r="DG5" s="330"/>
      <c r="DH5" s="330"/>
      <c r="DI5" s="331"/>
      <c r="DJ5" s="329" t="s">
        <v>236</v>
      </c>
      <c r="DK5" s="330"/>
      <c r="DL5" s="330"/>
      <c r="DM5" s="331"/>
    </row>
    <row r="6" spans="1:117" ht="10.5" customHeight="1">
      <c r="A6" s="284"/>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6"/>
      <c r="BX6" s="293"/>
      <c r="BY6" s="294"/>
      <c r="BZ6" s="294"/>
      <c r="CA6" s="294"/>
      <c r="CB6" s="294"/>
      <c r="CC6" s="294"/>
      <c r="CD6" s="294"/>
      <c r="CE6" s="295"/>
      <c r="CF6" s="293"/>
      <c r="CG6" s="294"/>
      <c r="CH6" s="294"/>
      <c r="CI6" s="294"/>
      <c r="CJ6" s="294"/>
      <c r="CK6" s="294"/>
      <c r="CL6" s="294"/>
      <c r="CM6" s="294"/>
      <c r="CN6" s="294"/>
      <c r="CO6" s="294"/>
      <c r="CP6" s="294"/>
      <c r="CQ6" s="294"/>
      <c r="CR6" s="295"/>
      <c r="CS6" s="295"/>
      <c r="CT6" s="26" t="s">
        <v>270</v>
      </c>
      <c r="CU6" s="26" t="s">
        <v>271</v>
      </c>
      <c r="CV6" s="27" t="s">
        <v>464</v>
      </c>
      <c r="CW6" s="273" t="s">
        <v>7</v>
      </c>
      <c r="CX6" s="26" t="s">
        <v>270</v>
      </c>
      <c r="CY6" s="26" t="s">
        <v>271</v>
      </c>
      <c r="CZ6" s="27" t="s">
        <v>464</v>
      </c>
      <c r="DA6" s="273" t="s">
        <v>7</v>
      </c>
      <c r="DB6" s="26" t="s">
        <v>270</v>
      </c>
      <c r="DC6" s="26" t="s">
        <v>271</v>
      </c>
      <c r="DD6" s="27" t="s">
        <v>464</v>
      </c>
      <c r="DE6" s="273" t="s">
        <v>7</v>
      </c>
      <c r="DF6" s="26" t="s">
        <v>270</v>
      </c>
      <c r="DG6" s="26" t="s">
        <v>271</v>
      </c>
      <c r="DH6" s="27" t="s">
        <v>464</v>
      </c>
      <c r="DI6" s="273" t="s">
        <v>7</v>
      </c>
      <c r="DJ6" s="26" t="s">
        <v>270</v>
      </c>
      <c r="DK6" s="26" t="s">
        <v>271</v>
      </c>
      <c r="DL6" s="27" t="s">
        <v>464</v>
      </c>
      <c r="DM6" s="273" t="s">
        <v>7</v>
      </c>
    </row>
    <row r="7" spans="1:117" ht="39" customHeight="1">
      <c r="A7" s="287"/>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9"/>
      <c r="BX7" s="296"/>
      <c r="BY7" s="297"/>
      <c r="BZ7" s="297"/>
      <c r="CA7" s="297"/>
      <c r="CB7" s="297"/>
      <c r="CC7" s="297"/>
      <c r="CD7" s="297"/>
      <c r="CE7" s="298"/>
      <c r="CF7" s="296"/>
      <c r="CG7" s="297"/>
      <c r="CH7" s="297"/>
      <c r="CI7" s="297"/>
      <c r="CJ7" s="297"/>
      <c r="CK7" s="297"/>
      <c r="CL7" s="297"/>
      <c r="CM7" s="297"/>
      <c r="CN7" s="297"/>
      <c r="CO7" s="297"/>
      <c r="CP7" s="297"/>
      <c r="CQ7" s="297"/>
      <c r="CR7" s="298"/>
      <c r="CS7" s="298"/>
      <c r="CT7" s="28" t="s">
        <v>4</v>
      </c>
      <c r="CU7" s="28" t="s">
        <v>5</v>
      </c>
      <c r="CV7" s="28" t="s">
        <v>6</v>
      </c>
      <c r="CW7" s="274"/>
      <c r="CX7" s="28" t="s">
        <v>4</v>
      </c>
      <c r="CY7" s="28" t="s">
        <v>5</v>
      </c>
      <c r="CZ7" s="28" t="s">
        <v>6</v>
      </c>
      <c r="DA7" s="274"/>
      <c r="DB7" s="28" t="s">
        <v>4</v>
      </c>
      <c r="DC7" s="28" t="s">
        <v>5</v>
      </c>
      <c r="DD7" s="28" t="s">
        <v>6</v>
      </c>
      <c r="DE7" s="274"/>
      <c r="DF7" s="28" t="s">
        <v>4</v>
      </c>
      <c r="DG7" s="28" t="s">
        <v>5</v>
      </c>
      <c r="DH7" s="28" t="s">
        <v>6</v>
      </c>
      <c r="DI7" s="274"/>
      <c r="DJ7" s="28" t="s">
        <v>4</v>
      </c>
      <c r="DK7" s="28" t="s">
        <v>5</v>
      </c>
      <c r="DL7" s="28" t="s">
        <v>6</v>
      </c>
      <c r="DM7" s="274"/>
    </row>
    <row r="8" spans="1:117" ht="12" thickBot="1">
      <c r="A8" s="275" t="s">
        <v>9</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7"/>
      <c r="BX8" s="278" t="s">
        <v>10</v>
      </c>
      <c r="BY8" s="279"/>
      <c r="BZ8" s="279"/>
      <c r="CA8" s="279"/>
      <c r="CB8" s="279"/>
      <c r="CC8" s="279"/>
      <c r="CD8" s="279"/>
      <c r="CE8" s="280"/>
      <c r="CF8" s="278" t="s">
        <v>11</v>
      </c>
      <c r="CG8" s="279"/>
      <c r="CH8" s="279"/>
      <c r="CI8" s="279"/>
      <c r="CJ8" s="279"/>
      <c r="CK8" s="279"/>
      <c r="CL8" s="279"/>
      <c r="CM8" s="279"/>
      <c r="CN8" s="279"/>
      <c r="CO8" s="279"/>
      <c r="CP8" s="279"/>
      <c r="CQ8" s="279"/>
      <c r="CR8" s="280"/>
      <c r="CS8" s="30"/>
      <c r="CT8" s="29" t="s">
        <v>12</v>
      </c>
      <c r="CU8" s="29" t="s">
        <v>13</v>
      </c>
      <c r="CV8" s="29" t="s">
        <v>14</v>
      </c>
      <c r="CW8" s="31" t="s">
        <v>15</v>
      </c>
      <c r="CX8" s="29" t="s">
        <v>16</v>
      </c>
      <c r="CY8" s="29" t="s">
        <v>465</v>
      </c>
      <c r="CZ8" s="29" t="s">
        <v>466</v>
      </c>
      <c r="DA8" s="31" t="s">
        <v>467</v>
      </c>
      <c r="DB8" s="29" t="s">
        <v>468</v>
      </c>
      <c r="DC8" s="29" t="s">
        <v>469</v>
      </c>
      <c r="DD8" s="29" t="s">
        <v>470</v>
      </c>
      <c r="DE8" s="31" t="s">
        <v>471</v>
      </c>
      <c r="DF8" s="29" t="s">
        <v>472</v>
      </c>
      <c r="DG8" s="29" t="s">
        <v>473</v>
      </c>
      <c r="DH8" s="29" t="s">
        <v>474</v>
      </c>
      <c r="DI8" s="31" t="s">
        <v>475</v>
      </c>
      <c r="DJ8" s="29" t="s">
        <v>409</v>
      </c>
      <c r="DK8" s="29" t="s">
        <v>411</v>
      </c>
      <c r="DL8" s="29" t="s">
        <v>412</v>
      </c>
      <c r="DM8" s="31" t="s">
        <v>476</v>
      </c>
    </row>
    <row r="9" spans="1:117" ht="12.75" customHeight="1" thickBot="1">
      <c r="A9" s="303" t="s">
        <v>32</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5"/>
      <c r="BX9" s="306" t="s">
        <v>33</v>
      </c>
      <c r="BY9" s="271"/>
      <c r="BZ9" s="271"/>
      <c r="CA9" s="271"/>
      <c r="CB9" s="271"/>
      <c r="CC9" s="271"/>
      <c r="CD9" s="271"/>
      <c r="CE9" s="272"/>
      <c r="CF9" s="270" t="s">
        <v>34</v>
      </c>
      <c r="CG9" s="271"/>
      <c r="CH9" s="271"/>
      <c r="CI9" s="271"/>
      <c r="CJ9" s="271"/>
      <c r="CK9" s="271"/>
      <c r="CL9" s="271"/>
      <c r="CM9" s="271"/>
      <c r="CN9" s="271"/>
      <c r="CO9" s="271"/>
      <c r="CP9" s="271"/>
      <c r="CQ9" s="271"/>
      <c r="CR9" s="272"/>
      <c r="CS9" s="32"/>
      <c r="CT9" s="33">
        <f>CX9+DB9+DF9+DJ9</f>
        <v>143404.99</v>
      </c>
      <c r="CU9" s="33">
        <f>CY9+DC9+DG9+DK9</f>
        <v>0</v>
      </c>
      <c r="CV9" s="33">
        <f aca="true" t="shared" si="0" ref="CU9:CV11">CZ9+DD9+DH9+DL9</f>
        <v>0</v>
      </c>
      <c r="CW9" s="34"/>
      <c r="CX9" s="35"/>
      <c r="CY9" s="33"/>
      <c r="CZ9" s="33"/>
      <c r="DA9" s="36"/>
      <c r="DB9" s="37"/>
      <c r="DC9" s="33"/>
      <c r="DD9" s="33"/>
      <c r="DE9" s="34"/>
      <c r="DF9" s="35"/>
      <c r="DG9" s="33"/>
      <c r="DH9" s="33"/>
      <c r="DI9" s="36"/>
      <c r="DJ9" s="37">
        <v>143404.99</v>
      </c>
      <c r="DK9" s="33">
        <v>0</v>
      </c>
      <c r="DL9" s="33">
        <v>0</v>
      </c>
      <c r="DM9" s="36"/>
    </row>
    <row r="10" spans="1:117" ht="12.75" customHeight="1" thickBot="1">
      <c r="A10" s="303" t="s">
        <v>35</v>
      </c>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5"/>
      <c r="BX10" s="255" t="s">
        <v>36</v>
      </c>
      <c r="BY10" s="256"/>
      <c r="BZ10" s="256"/>
      <c r="CA10" s="256"/>
      <c r="CB10" s="256"/>
      <c r="CC10" s="256"/>
      <c r="CD10" s="256"/>
      <c r="CE10" s="257"/>
      <c r="CF10" s="258" t="s">
        <v>34</v>
      </c>
      <c r="CG10" s="256"/>
      <c r="CH10" s="256"/>
      <c r="CI10" s="256"/>
      <c r="CJ10" s="256"/>
      <c r="CK10" s="256"/>
      <c r="CL10" s="256"/>
      <c r="CM10" s="256"/>
      <c r="CN10" s="256"/>
      <c r="CO10" s="256"/>
      <c r="CP10" s="256"/>
      <c r="CQ10" s="256"/>
      <c r="CR10" s="257"/>
      <c r="CS10" s="38"/>
      <c r="CT10" s="33">
        <f>CX10+DB10+DF10+DJ10</f>
        <v>0</v>
      </c>
      <c r="CU10" s="33">
        <f t="shared" si="0"/>
        <v>0</v>
      </c>
      <c r="CV10" s="33">
        <f t="shared" si="0"/>
        <v>0</v>
      </c>
      <c r="CW10" s="39"/>
      <c r="CX10" s="40"/>
      <c r="CY10" s="41"/>
      <c r="CZ10" s="41"/>
      <c r="DA10" s="42"/>
      <c r="DB10" s="43"/>
      <c r="DC10" s="41"/>
      <c r="DD10" s="41"/>
      <c r="DE10" s="39"/>
      <c r="DF10" s="40"/>
      <c r="DG10" s="41"/>
      <c r="DH10" s="41"/>
      <c r="DI10" s="42"/>
      <c r="DJ10" s="43">
        <f>DJ9+DJ11-DJ29</f>
        <v>0</v>
      </c>
      <c r="DK10" s="41">
        <f>DK9+DK11-DK29</f>
        <v>0</v>
      </c>
      <c r="DL10" s="41">
        <f>DL9+DL11-DL29</f>
        <v>0</v>
      </c>
      <c r="DM10" s="42"/>
    </row>
    <row r="11" spans="1:117" ht="12.75" thickBot="1">
      <c r="A11" s="299" t="s">
        <v>37</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c r="AZ11" s="300"/>
      <c r="BA11" s="300"/>
      <c r="BB11" s="300"/>
      <c r="BC11" s="300"/>
      <c r="BD11" s="300"/>
      <c r="BE11" s="300"/>
      <c r="BF11" s="300"/>
      <c r="BG11" s="300"/>
      <c r="BH11" s="300"/>
      <c r="BI11" s="300"/>
      <c r="BJ11" s="300"/>
      <c r="BK11" s="300"/>
      <c r="BL11" s="300"/>
      <c r="BM11" s="300"/>
      <c r="BN11" s="300"/>
      <c r="BO11" s="300"/>
      <c r="BP11" s="300"/>
      <c r="BQ11" s="300"/>
      <c r="BR11" s="300"/>
      <c r="BS11" s="300"/>
      <c r="BT11" s="300"/>
      <c r="BU11" s="300"/>
      <c r="BV11" s="300"/>
      <c r="BW11" s="301"/>
      <c r="BX11" s="262" t="s">
        <v>38</v>
      </c>
      <c r="BY11" s="263"/>
      <c r="BZ11" s="263"/>
      <c r="CA11" s="263"/>
      <c r="CB11" s="263"/>
      <c r="CC11" s="263"/>
      <c r="CD11" s="263"/>
      <c r="CE11" s="264"/>
      <c r="CF11" s="265"/>
      <c r="CG11" s="263"/>
      <c r="CH11" s="263"/>
      <c r="CI11" s="263"/>
      <c r="CJ11" s="263"/>
      <c r="CK11" s="263"/>
      <c r="CL11" s="263"/>
      <c r="CM11" s="263"/>
      <c r="CN11" s="263"/>
      <c r="CO11" s="263"/>
      <c r="CP11" s="263"/>
      <c r="CQ11" s="263"/>
      <c r="CR11" s="264"/>
      <c r="CS11" s="44"/>
      <c r="CT11" s="33">
        <f>CX11+DB11+DF11+DJ11</f>
        <v>20889011.400000002</v>
      </c>
      <c r="CU11" s="33">
        <f t="shared" si="0"/>
        <v>12758559.84</v>
      </c>
      <c r="CV11" s="33">
        <f t="shared" si="0"/>
        <v>14216119.84</v>
      </c>
      <c r="CW11" s="39"/>
      <c r="CX11" s="40">
        <f>CX15</f>
        <v>17719086.46</v>
      </c>
      <c r="CY11" s="40">
        <f>CY15</f>
        <v>11158726</v>
      </c>
      <c r="CZ11" s="40">
        <f>CZ15</f>
        <v>12616286</v>
      </c>
      <c r="DA11" s="42"/>
      <c r="DB11" s="43">
        <f>DB19</f>
        <v>2366288.1</v>
      </c>
      <c r="DC11" s="43">
        <f>DC19</f>
        <v>804197</v>
      </c>
      <c r="DD11" s="43">
        <f>DD19</f>
        <v>804197</v>
      </c>
      <c r="DE11" s="39"/>
      <c r="DF11" s="40"/>
      <c r="DG11" s="41"/>
      <c r="DH11" s="41"/>
      <c r="DI11" s="42"/>
      <c r="DJ11" s="43">
        <f>DJ12+DJ14+DJ17+DJ19</f>
        <v>803636.8400000001</v>
      </c>
      <c r="DK11" s="41">
        <f>SUM(DK12+DK14+DK17+DK19)</f>
        <v>795636.8400000001</v>
      </c>
      <c r="DL11" s="41">
        <f>SUM(DL12+DL14+DL17+DL19)</f>
        <v>795636.8400000001</v>
      </c>
      <c r="DM11" s="42"/>
    </row>
    <row r="12" spans="1:117" ht="22.5" customHeight="1" thickBot="1">
      <c r="A12" s="259" t="s">
        <v>39</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1"/>
      <c r="BX12" s="255" t="s">
        <v>40</v>
      </c>
      <c r="BY12" s="256"/>
      <c r="BZ12" s="256"/>
      <c r="CA12" s="256"/>
      <c r="CB12" s="256"/>
      <c r="CC12" s="256"/>
      <c r="CD12" s="256"/>
      <c r="CE12" s="257"/>
      <c r="CF12" s="258" t="s">
        <v>41</v>
      </c>
      <c r="CG12" s="256"/>
      <c r="CH12" s="256"/>
      <c r="CI12" s="256"/>
      <c r="CJ12" s="256"/>
      <c r="CK12" s="256"/>
      <c r="CL12" s="256"/>
      <c r="CM12" s="256"/>
      <c r="CN12" s="256"/>
      <c r="CO12" s="256"/>
      <c r="CP12" s="256"/>
      <c r="CQ12" s="256"/>
      <c r="CR12" s="257"/>
      <c r="CS12" s="44"/>
      <c r="CT12" s="33">
        <f aca="true" t="shared" si="1" ref="CT12:CV13">DJ12</f>
        <v>14043.84</v>
      </c>
      <c r="CU12" s="33">
        <f t="shared" si="1"/>
        <v>14043.84</v>
      </c>
      <c r="CV12" s="33">
        <f t="shared" si="1"/>
        <v>14043.84</v>
      </c>
      <c r="CW12" s="39"/>
      <c r="CX12" s="45" t="s">
        <v>34</v>
      </c>
      <c r="CY12" s="46" t="s">
        <v>34</v>
      </c>
      <c r="CZ12" s="46" t="s">
        <v>34</v>
      </c>
      <c r="DA12" s="47" t="s">
        <v>34</v>
      </c>
      <c r="DB12" s="48" t="s">
        <v>34</v>
      </c>
      <c r="DC12" s="46" t="s">
        <v>34</v>
      </c>
      <c r="DD12" s="46" t="s">
        <v>34</v>
      </c>
      <c r="DE12" s="46" t="s">
        <v>34</v>
      </c>
      <c r="DF12" s="45" t="s">
        <v>34</v>
      </c>
      <c r="DG12" s="46" t="s">
        <v>34</v>
      </c>
      <c r="DH12" s="46" t="s">
        <v>34</v>
      </c>
      <c r="DI12" s="47" t="s">
        <v>34</v>
      </c>
      <c r="DJ12" s="43">
        <v>14043.84</v>
      </c>
      <c r="DK12" s="41">
        <v>14043.84</v>
      </c>
      <c r="DL12" s="41">
        <v>14043.84</v>
      </c>
      <c r="DM12" s="42"/>
    </row>
    <row r="13" spans="1:117" ht="12">
      <c r="A13" s="259" t="s">
        <v>42</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1"/>
      <c r="BX13" s="255" t="s">
        <v>240</v>
      </c>
      <c r="BY13" s="256"/>
      <c r="BZ13" s="256"/>
      <c r="CA13" s="256"/>
      <c r="CB13" s="256"/>
      <c r="CC13" s="256"/>
      <c r="CD13" s="256"/>
      <c r="CE13" s="257"/>
      <c r="CF13" s="258"/>
      <c r="CG13" s="256"/>
      <c r="CH13" s="256"/>
      <c r="CI13" s="256"/>
      <c r="CJ13" s="256"/>
      <c r="CK13" s="256"/>
      <c r="CL13" s="256"/>
      <c r="CM13" s="256"/>
      <c r="CN13" s="256"/>
      <c r="CO13" s="256"/>
      <c r="CP13" s="256"/>
      <c r="CQ13" s="256"/>
      <c r="CR13" s="257"/>
      <c r="CS13" s="44"/>
      <c r="CT13" s="33">
        <f t="shared" si="1"/>
        <v>0</v>
      </c>
      <c r="CU13" s="33">
        <f t="shared" si="1"/>
        <v>0</v>
      </c>
      <c r="CV13" s="33">
        <f t="shared" si="1"/>
        <v>0</v>
      </c>
      <c r="CW13" s="39"/>
      <c r="CX13" s="45" t="s">
        <v>34</v>
      </c>
      <c r="CY13" s="46" t="s">
        <v>34</v>
      </c>
      <c r="CZ13" s="46" t="s">
        <v>34</v>
      </c>
      <c r="DA13" s="47" t="s">
        <v>34</v>
      </c>
      <c r="DB13" s="48" t="s">
        <v>34</v>
      </c>
      <c r="DC13" s="46" t="s">
        <v>34</v>
      </c>
      <c r="DD13" s="46" t="s">
        <v>34</v>
      </c>
      <c r="DE13" s="46" t="s">
        <v>34</v>
      </c>
      <c r="DF13" s="45" t="s">
        <v>34</v>
      </c>
      <c r="DG13" s="46" t="s">
        <v>34</v>
      </c>
      <c r="DH13" s="46" t="s">
        <v>34</v>
      </c>
      <c r="DI13" s="47" t="s">
        <v>34</v>
      </c>
      <c r="DJ13" s="43"/>
      <c r="DK13" s="41"/>
      <c r="DL13" s="41"/>
      <c r="DM13" s="42"/>
    </row>
    <row r="14" spans="1:117" ht="10.5" customHeight="1">
      <c r="A14" s="259" t="s">
        <v>43</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1"/>
      <c r="BX14" s="266" t="s">
        <v>44</v>
      </c>
      <c r="BY14" s="267"/>
      <c r="BZ14" s="267"/>
      <c r="CA14" s="267"/>
      <c r="CB14" s="267"/>
      <c r="CC14" s="267"/>
      <c r="CD14" s="267"/>
      <c r="CE14" s="268"/>
      <c r="CF14" s="269" t="s">
        <v>45</v>
      </c>
      <c r="CG14" s="267"/>
      <c r="CH14" s="267"/>
      <c r="CI14" s="267"/>
      <c r="CJ14" s="267"/>
      <c r="CK14" s="267"/>
      <c r="CL14" s="267"/>
      <c r="CM14" s="267"/>
      <c r="CN14" s="267"/>
      <c r="CO14" s="267"/>
      <c r="CP14" s="267"/>
      <c r="CQ14" s="267"/>
      <c r="CR14" s="268"/>
      <c r="CS14" s="49"/>
      <c r="CT14" s="50">
        <f aca="true" t="shared" si="2" ref="CT14:CV15">CX14+DJ14</f>
        <v>18145719.46</v>
      </c>
      <c r="CU14" s="50">
        <f t="shared" si="2"/>
        <v>11585359</v>
      </c>
      <c r="CV14" s="50">
        <f t="shared" si="2"/>
        <v>13042919</v>
      </c>
      <c r="CW14" s="51"/>
      <c r="CX14" s="52">
        <f>CX15</f>
        <v>17719086.46</v>
      </c>
      <c r="CY14" s="52">
        <f>CY15</f>
        <v>11158726</v>
      </c>
      <c r="CZ14" s="52">
        <f>CZ15</f>
        <v>12616286</v>
      </c>
      <c r="DA14" s="53"/>
      <c r="DB14" s="48" t="s">
        <v>34</v>
      </c>
      <c r="DC14" s="46" t="s">
        <v>34</v>
      </c>
      <c r="DD14" s="46" t="s">
        <v>34</v>
      </c>
      <c r="DE14" s="46" t="s">
        <v>34</v>
      </c>
      <c r="DF14" s="45" t="s">
        <v>34</v>
      </c>
      <c r="DG14" s="46" t="s">
        <v>34</v>
      </c>
      <c r="DH14" s="46" t="s">
        <v>34</v>
      </c>
      <c r="DI14" s="47" t="s">
        <v>34</v>
      </c>
      <c r="DJ14" s="54">
        <f>397908+28725</f>
        <v>426633</v>
      </c>
      <c r="DK14" s="54">
        <f>397908+28725</f>
        <v>426633</v>
      </c>
      <c r="DL14" s="54">
        <f>397908+28725</f>
        <v>426633</v>
      </c>
      <c r="DM14" s="53"/>
    </row>
    <row r="15" spans="1:117" ht="44.25" customHeight="1">
      <c r="A15" s="259" t="s">
        <v>241</v>
      </c>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1"/>
      <c r="BX15" s="266" t="s">
        <v>242</v>
      </c>
      <c r="BY15" s="267"/>
      <c r="BZ15" s="267"/>
      <c r="CA15" s="267"/>
      <c r="CB15" s="267"/>
      <c r="CC15" s="267"/>
      <c r="CD15" s="267"/>
      <c r="CE15" s="268"/>
      <c r="CF15" s="269" t="s">
        <v>45</v>
      </c>
      <c r="CG15" s="267"/>
      <c r="CH15" s="267"/>
      <c r="CI15" s="267"/>
      <c r="CJ15" s="267"/>
      <c r="CK15" s="267"/>
      <c r="CL15" s="267"/>
      <c r="CM15" s="267"/>
      <c r="CN15" s="267"/>
      <c r="CO15" s="267"/>
      <c r="CP15" s="267"/>
      <c r="CQ15" s="267"/>
      <c r="CR15" s="268"/>
      <c r="CS15" s="49"/>
      <c r="CT15" s="50">
        <f t="shared" si="2"/>
        <v>17719086.46</v>
      </c>
      <c r="CU15" s="50">
        <f t="shared" si="2"/>
        <v>11158726</v>
      </c>
      <c r="CV15" s="50">
        <f t="shared" si="2"/>
        <v>12616286</v>
      </c>
      <c r="CW15" s="51"/>
      <c r="CX15" s="52">
        <f>CX29</f>
        <v>17719086.46</v>
      </c>
      <c r="CY15" s="52">
        <f>CY29</f>
        <v>11158726</v>
      </c>
      <c r="CZ15" s="52">
        <f>CZ29</f>
        <v>12616286</v>
      </c>
      <c r="DA15" s="53"/>
      <c r="DB15" s="48" t="s">
        <v>34</v>
      </c>
      <c r="DC15" s="46" t="s">
        <v>34</v>
      </c>
      <c r="DD15" s="46" t="s">
        <v>34</v>
      </c>
      <c r="DE15" s="46" t="s">
        <v>34</v>
      </c>
      <c r="DF15" s="45" t="s">
        <v>34</v>
      </c>
      <c r="DG15" s="46" t="s">
        <v>34</v>
      </c>
      <c r="DH15" s="46" t="s">
        <v>34</v>
      </c>
      <c r="DI15" s="47" t="s">
        <v>34</v>
      </c>
      <c r="DJ15" s="54"/>
      <c r="DK15" s="50"/>
      <c r="DL15" s="50"/>
      <c r="DM15" s="53"/>
    </row>
    <row r="16" spans="1:117" s="1" customFormat="1" ht="21" customHeight="1">
      <c r="A16" s="307" t="s">
        <v>414</v>
      </c>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9"/>
      <c r="BX16" s="230" t="s">
        <v>415</v>
      </c>
      <c r="BY16" s="220"/>
      <c r="BZ16" s="220"/>
      <c r="CA16" s="220"/>
      <c r="CB16" s="220"/>
      <c r="CC16" s="220"/>
      <c r="CD16" s="220"/>
      <c r="CE16" s="221"/>
      <c r="CF16" s="219" t="s">
        <v>45</v>
      </c>
      <c r="CG16" s="220"/>
      <c r="CH16" s="220"/>
      <c r="CI16" s="220"/>
      <c r="CJ16" s="220"/>
      <c r="CK16" s="220"/>
      <c r="CL16" s="220"/>
      <c r="CM16" s="220"/>
      <c r="CN16" s="220"/>
      <c r="CO16" s="220"/>
      <c r="CP16" s="220"/>
      <c r="CQ16" s="220"/>
      <c r="CR16" s="221"/>
      <c r="CS16" s="95"/>
      <c r="CT16" s="96">
        <f aca="true" t="shared" si="3" ref="CT16:CV18">DJ16</f>
        <v>0</v>
      </c>
      <c r="CU16" s="96">
        <f t="shared" si="3"/>
        <v>0</v>
      </c>
      <c r="CV16" s="96">
        <f t="shared" si="3"/>
        <v>0</v>
      </c>
      <c r="CW16" s="97"/>
      <c r="CX16" s="98" t="s">
        <v>34</v>
      </c>
      <c r="CY16" s="99" t="s">
        <v>34</v>
      </c>
      <c r="CZ16" s="99" t="s">
        <v>34</v>
      </c>
      <c r="DA16" s="100" t="s">
        <v>34</v>
      </c>
      <c r="DB16" s="101" t="s">
        <v>34</v>
      </c>
      <c r="DC16" s="102" t="s">
        <v>34</v>
      </c>
      <c r="DD16" s="102" t="s">
        <v>34</v>
      </c>
      <c r="DE16" s="102" t="s">
        <v>34</v>
      </c>
      <c r="DF16" s="103" t="s">
        <v>34</v>
      </c>
      <c r="DG16" s="102" t="s">
        <v>34</v>
      </c>
      <c r="DH16" s="102" t="s">
        <v>34</v>
      </c>
      <c r="DI16" s="104" t="s">
        <v>34</v>
      </c>
      <c r="DJ16" s="105">
        <f>SUM(DJ17)</f>
        <v>0</v>
      </c>
      <c r="DK16" s="106">
        <v>0</v>
      </c>
      <c r="DL16" s="106">
        <v>0</v>
      </c>
      <c r="DM16" s="107"/>
    </row>
    <row r="17" spans="1:117" ht="10.5" customHeight="1">
      <c r="A17" s="259" t="s">
        <v>46</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1"/>
      <c r="BX17" s="255" t="s">
        <v>47</v>
      </c>
      <c r="BY17" s="256"/>
      <c r="BZ17" s="256"/>
      <c r="CA17" s="256"/>
      <c r="CB17" s="256"/>
      <c r="CC17" s="256"/>
      <c r="CD17" s="256"/>
      <c r="CE17" s="257"/>
      <c r="CF17" s="258" t="s">
        <v>48</v>
      </c>
      <c r="CG17" s="256"/>
      <c r="CH17" s="256"/>
      <c r="CI17" s="256"/>
      <c r="CJ17" s="256"/>
      <c r="CK17" s="256"/>
      <c r="CL17" s="256"/>
      <c r="CM17" s="256"/>
      <c r="CN17" s="256"/>
      <c r="CO17" s="256"/>
      <c r="CP17" s="256"/>
      <c r="CQ17" s="256"/>
      <c r="CR17" s="257"/>
      <c r="CS17" s="44"/>
      <c r="CT17" s="50">
        <f t="shared" si="3"/>
        <v>0</v>
      </c>
      <c r="CU17" s="50">
        <f t="shared" si="3"/>
        <v>0</v>
      </c>
      <c r="CV17" s="50">
        <f t="shared" si="3"/>
        <v>0</v>
      </c>
      <c r="CW17" s="39"/>
      <c r="CX17" s="45" t="s">
        <v>34</v>
      </c>
      <c r="CY17" s="46" t="s">
        <v>34</v>
      </c>
      <c r="CZ17" s="46" t="s">
        <v>34</v>
      </c>
      <c r="DA17" s="47" t="s">
        <v>34</v>
      </c>
      <c r="DB17" s="48" t="s">
        <v>34</v>
      </c>
      <c r="DC17" s="46" t="s">
        <v>34</v>
      </c>
      <c r="DD17" s="46" t="s">
        <v>34</v>
      </c>
      <c r="DE17" s="46" t="s">
        <v>34</v>
      </c>
      <c r="DF17" s="45" t="s">
        <v>34</v>
      </c>
      <c r="DG17" s="46" t="s">
        <v>34</v>
      </c>
      <c r="DH17" s="46" t="s">
        <v>34</v>
      </c>
      <c r="DI17" s="47" t="s">
        <v>34</v>
      </c>
      <c r="DJ17" s="43">
        <f>SUM(DJ18)</f>
        <v>0</v>
      </c>
      <c r="DK17" s="41">
        <v>0</v>
      </c>
      <c r="DL17" s="41">
        <v>0</v>
      </c>
      <c r="DM17" s="42"/>
    </row>
    <row r="18" spans="1:117" ht="10.5" customHeight="1">
      <c r="A18" s="259" t="s">
        <v>42</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1"/>
      <c r="BX18" s="255" t="s">
        <v>243</v>
      </c>
      <c r="BY18" s="256"/>
      <c r="BZ18" s="256"/>
      <c r="CA18" s="256"/>
      <c r="CB18" s="256"/>
      <c r="CC18" s="256"/>
      <c r="CD18" s="256"/>
      <c r="CE18" s="257"/>
      <c r="CF18" s="258" t="s">
        <v>48</v>
      </c>
      <c r="CG18" s="256"/>
      <c r="CH18" s="256"/>
      <c r="CI18" s="256"/>
      <c r="CJ18" s="256"/>
      <c r="CK18" s="256"/>
      <c r="CL18" s="256"/>
      <c r="CM18" s="256"/>
      <c r="CN18" s="256"/>
      <c r="CO18" s="256"/>
      <c r="CP18" s="256"/>
      <c r="CQ18" s="256"/>
      <c r="CR18" s="257"/>
      <c r="CS18" s="44"/>
      <c r="CT18" s="50">
        <f t="shared" si="3"/>
        <v>0</v>
      </c>
      <c r="CU18" s="50">
        <f t="shared" si="3"/>
        <v>0</v>
      </c>
      <c r="CV18" s="50">
        <f t="shared" si="3"/>
        <v>0</v>
      </c>
      <c r="CW18" s="39"/>
      <c r="CX18" s="45" t="s">
        <v>34</v>
      </c>
      <c r="CY18" s="46" t="s">
        <v>34</v>
      </c>
      <c r="CZ18" s="46" t="s">
        <v>34</v>
      </c>
      <c r="DA18" s="47" t="s">
        <v>34</v>
      </c>
      <c r="DB18" s="48" t="s">
        <v>34</v>
      </c>
      <c r="DC18" s="46" t="s">
        <v>34</v>
      </c>
      <c r="DD18" s="46" t="s">
        <v>34</v>
      </c>
      <c r="DE18" s="46" t="s">
        <v>34</v>
      </c>
      <c r="DF18" s="45" t="s">
        <v>34</v>
      </c>
      <c r="DG18" s="46" t="s">
        <v>34</v>
      </c>
      <c r="DH18" s="46" t="s">
        <v>34</v>
      </c>
      <c r="DI18" s="47" t="s">
        <v>34</v>
      </c>
      <c r="DJ18" s="43"/>
      <c r="DK18" s="41"/>
      <c r="DL18" s="41"/>
      <c r="DM18" s="42"/>
    </row>
    <row r="19" spans="1:117" ht="10.5" customHeight="1">
      <c r="A19" s="259" t="s">
        <v>49</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1"/>
      <c r="BX19" s="255" t="s">
        <v>50</v>
      </c>
      <c r="BY19" s="256"/>
      <c r="BZ19" s="256"/>
      <c r="CA19" s="256"/>
      <c r="CB19" s="256"/>
      <c r="CC19" s="256"/>
      <c r="CD19" s="256"/>
      <c r="CE19" s="257"/>
      <c r="CF19" s="258" t="s">
        <v>51</v>
      </c>
      <c r="CG19" s="256"/>
      <c r="CH19" s="256"/>
      <c r="CI19" s="256"/>
      <c r="CJ19" s="256"/>
      <c r="CK19" s="256"/>
      <c r="CL19" s="256"/>
      <c r="CM19" s="256"/>
      <c r="CN19" s="256"/>
      <c r="CO19" s="256"/>
      <c r="CP19" s="256"/>
      <c r="CQ19" s="256"/>
      <c r="CR19" s="257"/>
      <c r="CS19" s="44"/>
      <c r="CT19" s="50">
        <f>DJ19+DB19</f>
        <v>2729248.1</v>
      </c>
      <c r="CU19" s="50">
        <f>DK19+DC19</f>
        <v>1159157</v>
      </c>
      <c r="CV19" s="50">
        <f>DL19+DD19</f>
        <v>1159157</v>
      </c>
      <c r="CW19" s="39"/>
      <c r="CX19" s="45" t="s">
        <v>34</v>
      </c>
      <c r="CY19" s="46" t="s">
        <v>34</v>
      </c>
      <c r="CZ19" s="46" t="s">
        <v>34</v>
      </c>
      <c r="DA19" s="47" t="s">
        <v>34</v>
      </c>
      <c r="DB19" s="43">
        <f>DB20</f>
        <v>2366288.1</v>
      </c>
      <c r="DC19" s="43">
        <f>DC20</f>
        <v>804197</v>
      </c>
      <c r="DD19" s="43">
        <f>DD20</f>
        <v>804197</v>
      </c>
      <c r="DE19" s="46" t="s">
        <v>34</v>
      </c>
      <c r="DF19" s="45" t="s">
        <v>34</v>
      </c>
      <c r="DG19" s="46" t="s">
        <v>34</v>
      </c>
      <c r="DH19" s="46" t="s">
        <v>34</v>
      </c>
      <c r="DI19" s="47" t="s">
        <v>34</v>
      </c>
      <c r="DJ19" s="43">
        <f>354960+8000</f>
        <v>362960</v>
      </c>
      <c r="DK19" s="43">
        <v>354960</v>
      </c>
      <c r="DL19" s="43">
        <v>354960</v>
      </c>
      <c r="DM19" s="42"/>
    </row>
    <row r="20" spans="1:117" s="1" customFormat="1" ht="10.5" customHeight="1">
      <c r="A20" s="244" t="s">
        <v>42</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6"/>
      <c r="BX20" s="247" t="s">
        <v>416</v>
      </c>
      <c r="BY20" s="248"/>
      <c r="BZ20" s="248"/>
      <c r="CA20" s="248"/>
      <c r="CB20" s="248"/>
      <c r="CC20" s="248"/>
      <c r="CD20" s="248"/>
      <c r="CE20" s="249"/>
      <c r="CF20" s="253" t="s">
        <v>51</v>
      </c>
      <c r="CG20" s="248"/>
      <c r="CH20" s="248"/>
      <c r="CI20" s="248"/>
      <c r="CJ20" s="248"/>
      <c r="CK20" s="248"/>
      <c r="CL20" s="248"/>
      <c r="CM20" s="248"/>
      <c r="CN20" s="248"/>
      <c r="CO20" s="248"/>
      <c r="CP20" s="248"/>
      <c r="CQ20" s="248"/>
      <c r="CR20" s="249"/>
      <c r="CS20" s="237"/>
      <c r="CT20" s="239">
        <f>DB20+DF20</f>
        <v>2366288.1</v>
      </c>
      <c r="CU20" s="239">
        <f>DC20+DG20</f>
        <v>804197</v>
      </c>
      <c r="CV20" s="239">
        <f>DD20+DH20</f>
        <v>804197</v>
      </c>
      <c r="CW20" s="241"/>
      <c r="CX20" s="108"/>
      <c r="CY20" s="109"/>
      <c r="CZ20" s="110"/>
      <c r="DA20" s="111"/>
      <c r="DB20" s="243">
        <f>DB29</f>
        <v>2366288.1</v>
      </c>
      <c r="DC20" s="243">
        <f>DC29</f>
        <v>804197</v>
      </c>
      <c r="DD20" s="243">
        <f>DD29</f>
        <v>804197</v>
      </c>
      <c r="DE20" s="231"/>
      <c r="DF20" s="233"/>
      <c r="DG20" s="235"/>
      <c r="DH20" s="235"/>
      <c r="DI20" s="222"/>
      <c r="DJ20" s="112"/>
      <c r="DK20" s="113"/>
      <c r="DL20" s="112"/>
      <c r="DM20" s="113"/>
    </row>
    <row r="21" spans="1:117" s="1" customFormat="1" ht="10.5" customHeight="1">
      <c r="A21" s="224" t="s">
        <v>55</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6"/>
      <c r="BX21" s="250"/>
      <c r="BY21" s="251"/>
      <c r="BZ21" s="251"/>
      <c r="CA21" s="251"/>
      <c r="CB21" s="251"/>
      <c r="CC21" s="251"/>
      <c r="CD21" s="251"/>
      <c r="CE21" s="252"/>
      <c r="CF21" s="254"/>
      <c r="CG21" s="251"/>
      <c r="CH21" s="251"/>
      <c r="CI21" s="251"/>
      <c r="CJ21" s="251"/>
      <c r="CK21" s="251"/>
      <c r="CL21" s="251"/>
      <c r="CM21" s="251"/>
      <c r="CN21" s="251"/>
      <c r="CO21" s="251"/>
      <c r="CP21" s="251"/>
      <c r="CQ21" s="251"/>
      <c r="CR21" s="252"/>
      <c r="CS21" s="238"/>
      <c r="CT21" s="240"/>
      <c r="CU21" s="240"/>
      <c r="CV21" s="240"/>
      <c r="CW21" s="242"/>
      <c r="CX21" s="114" t="s">
        <v>34</v>
      </c>
      <c r="CY21" s="115" t="s">
        <v>34</v>
      </c>
      <c r="CZ21" s="116" t="s">
        <v>34</v>
      </c>
      <c r="DA21" s="117" t="s">
        <v>34</v>
      </c>
      <c r="DB21" s="243"/>
      <c r="DC21" s="243"/>
      <c r="DD21" s="243"/>
      <c r="DE21" s="232"/>
      <c r="DF21" s="234"/>
      <c r="DG21" s="236"/>
      <c r="DH21" s="236"/>
      <c r="DI21" s="223"/>
      <c r="DJ21" s="118" t="s">
        <v>34</v>
      </c>
      <c r="DK21" s="119" t="s">
        <v>34</v>
      </c>
      <c r="DL21" s="118" t="s">
        <v>34</v>
      </c>
      <c r="DM21" s="119" t="s">
        <v>34</v>
      </c>
    </row>
    <row r="22" spans="1:117" s="1" customFormat="1" ht="10.5" customHeight="1">
      <c r="A22" s="227" t="s">
        <v>56</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9"/>
      <c r="BX22" s="230" t="s">
        <v>417</v>
      </c>
      <c r="BY22" s="220"/>
      <c r="BZ22" s="220"/>
      <c r="CA22" s="220"/>
      <c r="CB22" s="220"/>
      <c r="CC22" s="220"/>
      <c r="CD22" s="220"/>
      <c r="CE22" s="221"/>
      <c r="CF22" s="219" t="s">
        <v>51</v>
      </c>
      <c r="CG22" s="220"/>
      <c r="CH22" s="220"/>
      <c r="CI22" s="220"/>
      <c r="CJ22" s="220"/>
      <c r="CK22" s="220"/>
      <c r="CL22" s="220"/>
      <c r="CM22" s="220"/>
      <c r="CN22" s="220"/>
      <c r="CO22" s="220"/>
      <c r="CP22" s="220"/>
      <c r="CQ22" s="220"/>
      <c r="CR22" s="221"/>
      <c r="CS22" s="95"/>
      <c r="CT22" s="120">
        <f aca="true" t="shared" si="4" ref="CT22:CV23">DB22+DF22</f>
        <v>0</v>
      </c>
      <c r="CU22" s="120">
        <f t="shared" si="4"/>
        <v>0</v>
      </c>
      <c r="CV22" s="120">
        <f t="shared" si="4"/>
        <v>0</v>
      </c>
      <c r="CW22" s="97"/>
      <c r="CX22" s="98" t="s">
        <v>34</v>
      </c>
      <c r="CY22" s="99" t="s">
        <v>34</v>
      </c>
      <c r="CZ22" s="99" t="s">
        <v>34</v>
      </c>
      <c r="DA22" s="100" t="s">
        <v>34</v>
      </c>
      <c r="DB22" s="105"/>
      <c r="DC22" s="106"/>
      <c r="DD22" s="106"/>
      <c r="DE22" s="121"/>
      <c r="DF22" s="122"/>
      <c r="DG22" s="106"/>
      <c r="DH22" s="106"/>
      <c r="DI22" s="107"/>
      <c r="DJ22" s="101" t="s">
        <v>34</v>
      </c>
      <c r="DK22" s="102" t="s">
        <v>34</v>
      </c>
      <c r="DL22" s="102" t="s">
        <v>34</v>
      </c>
      <c r="DM22" s="102" t="s">
        <v>34</v>
      </c>
    </row>
    <row r="23" spans="1:117" ht="10.5" customHeight="1">
      <c r="A23" s="259" t="s">
        <v>52</v>
      </c>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1"/>
      <c r="BX23" s="255" t="s">
        <v>53</v>
      </c>
      <c r="BY23" s="256"/>
      <c r="BZ23" s="256"/>
      <c r="CA23" s="256"/>
      <c r="CB23" s="256"/>
      <c r="CC23" s="256"/>
      <c r="CD23" s="256"/>
      <c r="CE23" s="257"/>
      <c r="CF23" s="258" t="s">
        <v>54</v>
      </c>
      <c r="CG23" s="256"/>
      <c r="CH23" s="256"/>
      <c r="CI23" s="256"/>
      <c r="CJ23" s="256"/>
      <c r="CK23" s="256"/>
      <c r="CL23" s="256"/>
      <c r="CM23" s="256"/>
      <c r="CN23" s="256"/>
      <c r="CO23" s="256"/>
      <c r="CP23" s="256"/>
      <c r="CQ23" s="256"/>
      <c r="CR23" s="257"/>
      <c r="CS23" s="44"/>
      <c r="CT23" s="50">
        <f t="shared" si="4"/>
        <v>0</v>
      </c>
      <c r="CU23" s="50">
        <f t="shared" si="4"/>
        <v>0</v>
      </c>
      <c r="CV23" s="50">
        <f t="shared" si="4"/>
        <v>0</v>
      </c>
      <c r="CW23" s="39"/>
      <c r="CX23" s="45" t="s">
        <v>34</v>
      </c>
      <c r="CY23" s="46" t="s">
        <v>34</v>
      </c>
      <c r="CZ23" s="46" t="s">
        <v>34</v>
      </c>
      <c r="DA23" s="47" t="s">
        <v>34</v>
      </c>
      <c r="DB23" s="43"/>
      <c r="DC23" s="41"/>
      <c r="DD23" s="41"/>
      <c r="DE23" s="39"/>
      <c r="DF23" s="40"/>
      <c r="DG23" s="41"/>
      <c r="DH23" s="41"/>
      <c r="DI23" s="42"/>
      <c r="DJ23" s="48" t="s">
        <v>34</v>
      </c>
      <c r="DK23" s="46" t="s">
        <v>34</v>
      </c>
      <c r="DL23" s="46" t="s">
        <v>34</v>
      </c>
      <c r="DM23" s="55" t="s">
        <v>34</v>
      </c>
    </row>
    <row r="24" spans="1:117" ht="10.5" customHeight="1">
      <c r="A24" s="259" t="s">
        <v>57</v>
      </c>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1"/>
      <c r="BX24" s="255" t="s">
        <v>58</v>
      </c>
      <c r="BY24" s="256"/>
      <c r="BZ24" s="256"/>
      <c r="CA24" s="256"/>
      <c r="CB24" s="256"/>
      <c r="CC24" s="256"/>
      <c r="CD24" s="256"/>
      <c r="CE24" s="257"/>
      <c r="CF24" s="258"/>
      <c r="CG24" s="256"/>
      <c r="CH24" s="256"/>
      <c r="CI24" s="256"/>
      <c r="CJ24" s="256"/>
      <c r="CK24" s="256"/>
      <c r="CL24" s="256"/>
      <c r="CM24" s="256"/>
      <c r="CN24" s="256"/>
      <c r="CO24" s="256"/>
      <c r="CP24" s="256"/>
      <c r="CQ24" s="256"/>
      <c r="CR24" s="257"/>
      <c r="CS24" s="44"/>
      <c r="CT24" s="56">
        <f aca="true" t="shared" si="5" ref="CT24:CV25">DJ24</f>
        <v>0</v>
      </c>
      <c r="CU24" s="56">
        <f t="shared" si="5"/>
        <v>0</v>
      </c>
      <c r="CV24" s="56">
        <f t="shared" si="5"/>
        <v>0</v>
      </c>
      <c r="CW24" s="39"/>
      <c r="CX24" s="45" t="s">
        <v>34</v>
      </c>
      <c r="CY24" s="46" t="s">
        <v>34</v>
      </c>
      <c r="CZ24" s="46" t="s">
        <v>34</v>
      </c>
      <c r="DA24" s="47" t="s">
        <v>34</v>
      </c>
      <c r="DB24" s="48" t="s">
        <v>34</v>
      </c>
      <c r="DC24" s="46" t="s">
        <v>34</v>
      </c>
      <c r="DD24" s="46" t="s">
        <v>34</v>
      </c>
      <c r="DE24" s="46" t="s">
        <v>34</v>
      </c>
      <c r="DF24" s="45" t="s">
        <v>34</v>
      </c>
      <c r="DG24" s="46" t="s">
        <v>34</v>
      </c>
      <c r="DH24" s="46" t="s">
        <v>34</v>
      </c>
      <c r="DI24" s="47" t="s">
        <v>34</v>
      </c>
      <c r="DJ24" s="43"/>
      <c r="DK24" s="41"/>
      <c r="DL24" s="41"/>
      <c r="DM24" s="42"/>
    </row>
    <row r="25" spans="1:117" ht="10.5" customHeight="1">
      <c r="A25" s="259" t="s">
        <v>42</v>
      </c>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1"/>
      <c r="BX25" s="255"/>
      <c r="BY25" s="256"/>
      <c r="BZ25" s="256"/>
      <c r="CA25" s="256"/>
      <c r="CB25" s="256"/>
      <c r="CC25" s="256"/>
      <c r="CD25" s="256"/>
      <c r="CE25" s="257"/>
      <c r="CF25" s="258"/>
      <c r="CG25" s="256"/>
      <c r="CH25" s="256"/>
      <c r="CI25" s="256"/>
      <c r="CJ25" s="256"/>
      <c r="CK25" s="256"/>
      <c r="CL25" s="256"/>
      <c r="CM25" s="256"/>
      <c r="CN25" s="256"/>
      <c r="CO25" s="256"/>
      <c r="CP25" s="256"/>
      <c r="CQ25" s="256"/>
      <c r="CR25" s="257"/>
      <c r="CS25" s="44"/>
      <c r="CT25" s="41">
        <f t="shared" si="5"/>
        <v>0</v>
      </c>
      <c r="CU25" s="41">
        <f t="shared" si="5"/>
        <v>0</v>
      </c>
      <c r="CV25" s="41">
        <f t="shared" si="5"/>
        <v>0</v>
      </c>
      <c r="CW25" s="39"/>
      <c r="CX25" s="45" t="s">
        <v>34</v>
      </c>
      <c r="CY25" s="46" t="s">
        <v>34</v>
      </c>
      <c r="CZ25" s="46" t="s">
        <v>34</v>
      </c>
      <c r="DA25" s="47" t="s">
        <v>34</v>
      </c>
      <c r="DB25" s="48" t="s">
        <v>34</v>
      </c>
      <c r="DC25" s="46" t="s">
        <v>34</v>
      </c>
      <c r="DD25" s="46" t="s">
        <v>34</v>
      </c>
      <c r="DE25" s="46" t="s">
        <v>34</v>
      </c>
      <c r="DF25" s="45" t="s">
        <v>34</v>
      </c>
      <c r="DG25" s="46" t="s">
        <v>34</v>
      </c>
      <c r="DH25" s="46" t="s">
        <v>34</v>
      </c>
      <c r="DI25" s="47" t="s">
        <v>34</v>
      </c>
      <c r="DJ25" s="43"/>
      <c r="DK25" s="41"/>
      <c r="DL25" s="41"/>
      <c r="DM25" s="42"/>
    </row>
    <row r="26" spans="1:117" ht="12.75" customHeight="1">
      <c r="A26" s="259" t="s">
        <v>59</v>
      </c>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1"/>
      <c r="BX26" s="255" t="s">
        <v>60</v>
      </c>
      <c r="BY26" s="256"/>
      <c r="BZ26" s="256"/>
      <c r="CA26" s="256"/>
      <c r="CB26" s="256"/>
      <c r="CC26" s="256"/>
      <c r="CD26" s="256"/>
      <c r="CE26" s="257"/>
      <c r="CF26" s="258" t="s">
        <v>34</v>
      </c>
      <c r="CG26" s="256"/>
      <c r="CH26" s="256"/>
      <c r="CI26" s="256"/>
      <c r="CJ26" s="256"/>
      <c r="CK26" s="256"/>
      <c r="CL26" s="256"/>
      <c r="CM26" s="256"/>
      <c r="CN26" s="256"/>
      <c r="CO26" s="256"/>
      <c r="CP26" s="256"/>
      <c r="CQ26" s="256"/>
      <c r="CR26" s="257"/>
      <c r="CS26" s="44"/>
      <c r="CT26" s="41">
        <f aca="true" t="shared" si="6" ref="CT26:CV27">CX26+DJ26</f>
        <v>0</v>
      </c>
      <c r="CU26" s="41">
        <f t="shared" si="6"/>
        <v>0</v>
      </c>
      <c r="CV26" s="41">
        <f t="shared" si="6"/>
        <v>0</v>
      </c>
      <c r="CW26" s="39"/>
      <c r="CX26" s="40"/>
      <c r="CY26" s="41"/>
      <c r="CZ26" s="41"/>
      <c r="DA26" s="42"/>
      <c r="DB26" s="48" t="s">
        <v>34</v>
      </c>
      <c r="DC26" s="46" t="s">
        <v>34</v>
      </c>
      <c r="DD26" s="46" t="s">
        <v>34</v>
      </c>
      <c r="DE26" s="46" t="s">
        <v>34</v>
      </c>
      <c r="DF26" s="45" t="s">
        <v>34</v>
      </c>
      <c r="DG26" s="46" t="s">
        <v>34</v>
      </c>
      <c r="DH26" s="46" t="s">
        <v>34</v>
      </c>
      <c r="DI26" s="47" t="s">
        <v>34</v>
      </c>
      <c r="DJ26" s="43"/>
      <c r="DK26" s="41"/>
      <c r="DL26" s="41"/>
      <c r="DM26" s="42"/>
    </row>
    <row r="27" spans="1:117" ht="33.75" customHeight="1">
      <c r="A27" s="310" t="s">
        <v>61</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2"/>
      <c r="BX27" s="255" t="s">
        <v>62</v>
      </c>
      <c r="BY27" s="256"/>
      <c r="BZ27" s="256"/>
      <c r="CA27" s="256"/>
      <c r="CB27" s="256"/>
      <c r="CC27" s="256"/>
      <c r="CD27" s="256"/>
      <c r="CE27" s="257"/>
      <c r="CF27" s="258" t="s">
        <v>63</v>
      </c>
      <c r="CG27" s="256"/>
      <c r="CH27" s="256"/>
      <c r="CI27" s="256"/>
      <c r="CJ27" s="256"/>
      <c r="CK27" s="256"/>
      <c r="CL27" s="256"/>
      <c r="CM27" s="256"/>
      <c r="CN27" s="256"/>
      <c r="CO27" s="256"/>
      <c r="CP27" s="256"/>
      <c r="CQ27" s="256"/>
      <c r="CR27" s="257"/>
      <c r="CS27" s="44"/>
      <c r="CT27" s="41">
        <f t="shared" si="6"/>
        <v>0</v>
      </c>
      <c r="CU27" s="41">
        <f t="shared" si="6"/>
        <v>0</v>
      </c>
      <c r="CV27" s="41">
        <f t="shared" si="6"/>
        <v>0</v>
      </c>
      <c r="CW27" s="57" t="s">
        <v>34</v>
      </c>
      <c r="CX27" s="40"/>
      <c r="CY27" s="41"/>
      <c r="CZ27" s="41"/>
      <c r="DA27" s="58" t="s">
        <v>34</v>
      </c>
      <c r="DB27" s="59" t="s">
        <v>34</v>
      </c>
      <c r="DC27" s="39" t="s">
        <v>34</v>
      </c>
      <c r="DD27" s="39" t="s">
        <v>34</v>
      </c>
      <c r="DE27" s="39" t="s">
        <v>34</v>
      </c>
      <c r="DF27" s="60" t="s">
        <v>34</v>
      </c>
      <c r="DG27" s="39" t="s">
        <v>34</v>
      </c>
      <c r="DH27" s="39" t="s">
        <v>34</v>
      </c>
      <c r="DI27" s="42" t="s">
        <v>34</v>
      </c>
      <c r="DJ27" s="43"/>
      <c r="DK27" s="41"/>
      <c r="DL27" s="41"/>
      <c r="DM27" s="58" t="s">
        <v>34</v>
      </c>
    </row>
    <row r="28" spans="1:117" ht="10.5" customHeight="1">
      <c r="A28" s="310"/>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2"/>
      <c r="BX28" s="255"/>
      <c r="BY28" s="256"/>
      <c r="BZ28" s="256"/>
      <c r="CA28" s="256"/>
      <c r="CB28" s="256"/>
      <c r="CC28" s="256"/>
      <c r="CD28" s="256"/>
      <c r="CE28" s="257"/>
      <c r="CF28" s="258"/>
      <c r="CG28" s="256"/>
      <c r="CH28" s="256"/>
      <c r="CI28" s="256"/>
      <c r="CJ28" s="256"/>
      <c r="CK28" s="256"/>
      <c r="CL28" s="256"/>
      <c r="CM28" s="256"/>
      <c r="CN28" s="256"/>
      <c r="CO28" s="256"/>
      <c r="CP28" s="256"/>
      <c r="CQ28" s="256"/>
      <c r="CR28" s="257"/>
      <c r="CS28" s="44"/>
      <c r="CT28" s="41">
        <f aca="true" t="shared" si="7" ref="CT28:CT49">CX28+DB28+DF28+DJ28</f>
        <v>0</v>
      </c>
      <c r="CU28" s="41">
        <f aca="true" t="shared" si="8" ref="CU28:CV43">CY28+DC28+DG28+DK28</f>
        <v>0</v>
      </c>
      <c r="CV28" s="41">
        <f t="shared" si="8"/>
        <v>0</v>
      </c>
      <c r="CW28" s="57"/>
      <c r="CX28" s="40"/>
      <c r="CY28" s="41"/>
      <c r="CZ28" s="41"/>
      <c r="DA28" s="58"/>
      <c r="DB28" s="43"/>
      <c r="DC28" s="41"/>
      <c r="DD28" s="41"/>
      <c r="DE28" s="57"/>
      <c r="DF28" s="40"/>
      <c r="DG28" s="41"/>
      <c r="DH28" s="41"/>
      <c r="DI28" s="58"/>
      <c r="DJ28" s="43"/>
      <c r="DK28" s="41"/>
      <c r="DL28" s="41"/>
      <c r="DM28" s="58"/>
    </row>
    <row r="29" spans="1:117" ht="10.5" customHeight="1">
      <c r="A29" s="299" t="s">
        <v>64</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1"/>
      <c r="BX29" s="262" t="s">
        <v>65</v>
      </c>
      <c r="BY29" s="263"/>
      <c r="BZ29" s="263"/>
      <c r="CA29" s="263"/>
      <c r="CB29" s="263"/>
      <c r="CC29" s="263"/>
      <c r="CD29" s="263"/>
      <c r="CE29" s="264"/>
      <c r="CF29" s="265" t="s">
        <v>34</v>
      </c>
      <c r="CG29" s="263"/>
      <c r="CH29" s="263"/>
      <c r="CI29" s="263"/>
      <c r="CJ29" s="263"/>
      <c r="CK29" s="263"/>
      <c r="CL29" s="263"/>
      <c r="CM29" s="263"/>
      <c r="CN29" s="263"/>
      <c r="CO29" s="263"/>
      <c r="CP29" s="263"/>
      <c r="CQ29" s="263"/>
      <c r="CR29" s="264"/>
      <c r="CS29" s="44"/>
      <c r="CT29" s="41">
        <f t="shared" si="7"/>
        <v>21032416.39</v>
      </c>
      <c r="CU29" s="41">
        <f t="shared" si="8"/>
        <v>12758559.84</v>
      </c>
      <c r="CV29" s="41">
        <f t="shared" si="8"/>
        <v>14216119.84</v>
      </c>
      <c r="CW29" s="57"/>
      <c r="CX29" s="40">
        <f aca="true" t="shared" si="9" ref="CX29:DD29">CX30+CX42+CX48+CX52+CX61</f>
        <v>17719086.46</v>
      </c>
      <c r="CY29" s="40">
        <f t="shared" si="9"/>
        <v>11158726</v>
      </c>
      <c r="CZ29" s="40">
        <f t="shared" si="9"/>
        <v>12616286</v>
      </c>
      <c r="DA29" s="40">
        <f t="shared" si="9"/>
        <v>483660.7</v>
      </c>
      <c r="DB29" s="40">
        <f t="shared" si="9"/>
        <v>2366288.1</v>
      </c>
      <c r="DC29" s="40">
        <f t="shared" si="9"/>
        <v>804197</v>
      </c>
      <c r="DD29" s="40">
        <f t="shared" si="9"/>
        <v>804197</v>
      </c>
      <c r="DE29" s="40"/>
      <c r="DF29" s="40">
        <f>DF30+DF42+DF48+DF52+DF61</f>
        <v>0</v>
      </c>
      <c r="DG29" s="40">
        <f>DG30+DG42+DG48+DG52+DG61</f>
        <v>0</v>
      </c>
      <c r="DH29" s="40">
        <f>DH30+DH42+DH48+DH52+DH61</f>
        <v>0</v>
      </c>
      <c r="DI29" s="40"/>
      <c r="DJ29" s="40">
        <f>DJ30+DJ42+DJ48+DJ52+DJ61</f>
        <v>947041.8300000001</v>
      </c>
      <c r="DK29" s="40">
        <f>DK30+DK42+DK48+DK52+DK61</f>
        <v>795636.8400000001</v>
      </c>
      <c r="DL29" s="40">
        <f>DL30+DL42+DL48+DL52+DL61</f>
        <v>795636.8400000001</v>
      </c>
      <c r="DM29" s="40"/>
    </row>
    <row r="30" spans="1:117" ht="22.5" customHeight="1">
      <c r="A30" s="313" t="s">
        <v>66</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c r="BU30" s="314"/>
      <c r="BV30" s="314"/>
      <c r="BW30" s="315"/>
      <c r="BX30" s="255" t="s">
        <v>67</v>
      </c>
      <c r="BY30" s="256"/>
      <c r="BZ30" s="256"/>
      <c r="CA30" s="256"/>
      <c r="CB30" s="256"/>
      <c r="CC30" s="256"/>
      <c r="CD30" s="256"/>
      <c r="CE30" s="257"/>
      <c r="CF30" s="258" t="s">
        <v>34</v>
      </c>
      <c r="CG30" s="256"/>
      <c r="CH30" s="256"/>
      <c r="CI30" s="256"/>
      <c r="CJ30" s="256"/>
      <c r="CK30" s="256"/>
      <c r="CL30" s="256"/>
      <c r="CM30" s="256"/>
      <c r="CN30" s="256"/>
      <c r="CO30" s="256"/>
      <c r="CP30" s="256"/>
      <c r="CQ30" s="256"/>
      <c r="CR30" s="257"/>
      <c r="CS30" s="61"/>
      <c r="CT30" s="41">
        <f t="shared" si="7"/>
        <v>16501768.799999999</v>
      </c>
      <c r="CU30" s="41">
        <f t="shared" si="8"/>
        <v>9440647</v>
      </c>
      <c r="CV30" s="41">
        <f t="shared" si="8"/>
        <v>10898207</v>
      </c>
      <c r="CW30" s="57" t="s">
        <v>34</v>
      </c>
      <c r="CX30" s="40">
        <f>CX31+CX32+CX34</f>
        <v>15422876.7</v>
      </c>
      <c r="CY30" s="40">
        <f aca="true" t="shared" si="10" ref="CY30:DL30">CY31+CY32+CY34</f>
        <v>9440647</v>
      </c>
      <c r="CZ30" s="40">
        <f t="shared" si="10"/>
        <v>10898207</v>
      </c>
      <c r="DA30" s="40"/>
      <c r="DB30" s="40">
        <f t="shared" si="10"/>
        <v>1078892.1</v>
      </c>
      <c r="DC30" s="40">
        <f t="shared" si="10"/>
        <v>0</v>
      </c>
      <c r="DD30" s="40">
        <f t="shared" si="10"/>
        <v>0</v>
      </c>
      <c r="DE30" s="40" t="s">
        <v>34</v>
      </c>
      <c r="DF30" s="40">
        <f t="shared" si="10"/>
        <v>0</v>
      </c>
      <c r="DG30" s="40">
        <f t="shared" si="10"/>
        <v>0</v>
      </c>
      <c r="DH30" s="40">
        <f t="shared" si="10"/>
        <v>0</v>
      </c>
      <c r="DI30" s="40" t="s">
        <v>34</v>
      </c>
      <c r="DJ30" s="40">
        <f t="shared" si="10"/>
        <v>0</v>
      </c>
      <c r="DK30" s="40">
        <f t="shared" si="10"/>
        <v>0</v>
      </c>
      <c r="DL30" s="40">
        <f t="shared" si="10"/>
        <v>0</v>
      </c>
      <c r="DM30" s="40" t="s">
        <v>34</v>
      </c>
    </row>
    <row r="31" spans="1:117" ht="22.5" customHeight="1">
      <c r="A31" s="310" t="s">
        <v>68</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2"/>
      <c r="BX31" s="255" t="s">
        <v>69</v>
      </c>
      <c r="BY31" s="256"/>
      <c r="BZ31" s="256"/>
      <c r="CA31" s="256"/>
      <c r="CB31" s="256"/>
      <c r="CC31" s="256"/>
      <c r="CD31" s="256"/>
      <c r="CE31" s="257"/>
      <c r="CF31" s="258" t="s">
        <v>70</v>
      </c>
      <c r="CG31" s="256"/>
      <c r="CH31" s="256"/>
      <c r="CI31" s="256"/>
      <c r="CJ31" s="256"/>
      <c r="CK31" s="256"/>
      <c r="CL31" s="256"/>
      <c r="CM31" s="256"/>
      <c r="CN31" s="256"/>
      <c r="CO31" s="256"/>
      <c r="CP31" s="256"/>
      <c r="CQ31" s="256"/>
      <c r="CR31" s="257"/>
      <c r="CS31" s="62"/>
      <c r="CT31" s="41">
        <f t="shared" si="7"/>
        <v>12453938.16</v>
      </c>
      <c r="CU31" s="41">
        <f t="shared" si="8"/>
        <v>7250881</v>
      </c>
      <c r="CV31" s="41">
        <f t="shared" si="8"/>
        <v>8370359</v>
      </c>
      <c r="CW31" s="57" t="s">
        <v>34</v>
      </c>
      <c r="CX31" s="40">
        <f>9328985+854938+1441373</f>
        <v>11625296</v>
      </c>
      <c r="CY31" s="40">
        <v>7250881</v>
      </c>
      <c r="CZ31" s="40">
        <v>8370359</v>
      </c>
      <c r="DA31" s="58"/>
      <c r="DB31" s="43">
        <f>759000+16006.16+53636</f>
        <v>828642.16</v>
      </c>
      <c r="DC31" s="41"/>
      <c r="DD31" s="41"/>
      <c r="DE31" s="57" t="s">
        <v>34</v>
      </c>
      <c r="DF31" s="40"/>
      <c r="DG31" s="41"/>
      <c r="DH31" s="41"/>
      <c r="DI31" s="58" t="s">
        <v>34</v>
      </c>
      <c r="DJ31" s="43"/>
      <c r="DK31" s="41"/>
      <c r="DL31" s="41"/>
      <c r="DM31" s="58" t="s">
        <v>34</v>
      </c>
    </row>
    <row r="32" spans="1:117" ht="10.5" customHeight="1">
      <c r="A32" s="310" t="s">
        <v>71</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2"/>
      <c r="BX32" s="255" t="s">
        <v>72</v>
      </c>
      <c r="BY32" s="256"/>
      <c r="BZ32" s="256"/>
      <c r="CA32" s="256"/>
      <c r="CB32" s="256"/>
      <c r="CC32" s="256"/>
      <c r="CD32" s="256"/>
      <c r="CE32" s="257"/>
      <c r="CF32" s="258" t="s">
        <v>73</v>
      </c>
      <c r="CG32" s="256"/>
      <c r="CH32" s="256"/>
      <c r="CI32" s="256"/>
      <c r="CJ32" s="256"/>
      <c r="CK32" s="256"/>
      <c r="CL32" s="256"/>
      <c r="CM32" s="256"/>
      <c r="CN32" s="256"/>
      <c r="CO32" s="256"/>
      <c r="CP32" s="256"/>
      <c r="CQ32" s="256"/>
      <c r="CR32" s="257"/>
      <c r="CS32" s="62"/>
      <c r="CT32" s="41">
        <f t="shared" si="7"/>
        <v>0</v>
      </c>
      <c r="CU32" s="41">
        <f t="shared" si="8"/>
        <v>0</v>
      </c>
      <c r="CV32" s="41">
        <f t="shared" si="8"/>
        <v>0</v>
      </c>
      <c r="CW32" s="57" t="s">
        <v>34</v>
      </c>
      <c r="CX32" s="40"/>
      <c r="CY32" s="40"/>
      <c r="CZ32" s="40"/>
      <c r="DA32" s="58"/>
      <c r="DB32" s="43"/>
      <c r="DC32" s="41"/>
      <c r="DD32" s="41"/>
      <c r="DE32" s="57" t="s">
        <v>34</v>
      </c>
      <c r="DF32" s="40"/>
      <c r="DG32" s="41"/>
      <c r="DH32" s="41"/>
      <c r="DI32" s="58" t="s">
        <v>34</v>
      </c>
      <c r="DJ32" s="43"/>
      <c r="DK32" s="41"/>
      <c r="DL32" s="41"/>
      <c r="DM32" s="58" t="s">
        <v>34</v>
      </c>
    </row>
    <row r="33" spans="1:117" ht="22.5" customHeight="1">
      <c r="A33" s="310" t="s">
        <v>74</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2"/>
      <c r="BX33" s="255" t="s">
        <v>75</v>
      </c>
      <c r="BY33" s="256"/>
      <c r="BZ33" s="256"/>
      <c r="CA33" s="256"/>
      <c r="CB33" s="256"/>
      <c r="CC33" s="256"/>
      <c r="CD33" s="256"/>
      <c r="CE33" s="257"/>
      <c r="CF33" s="258" t="s">
        <v>76</v>
      </c>
      <c r="CG33" s="256"/>
      <c r="CH33" s="256"/>
      <c r="CI33" s="256"/>
      <c r="CJ33" s="256"/>
      <c r="CK33" s="256"/>
      <c r="CL33" s="256"/>
      <c r="CM33" s="256"/>
      <c r="CN33" s="256"/>
      <c r="CO33" s="256"/>
      <c r="CP33" s="256"/>
      <c r="CQ33" s="256"/>
      <c r="CR33" s="257"/>
      <c r="CS33" s="62"/>
      <c r="CT33" s="41">
        <f t="shared" si="7"/>
        <v>0</v>
      </c>
      <c r="CU33" s="41">
        <f t="shared" si="8"/>
        <v>0</v>
      </c>
      <c r="CV33" s="41">
        <f t="shared" si="8"/>
        <v>0</v>
      </c>
      <c r="CW33" s="57" t="s">
        <v>34</v>
      </c>
      <c r="CX33" s="40"/>
      <c r="CY33" s="41"/>
      <c r="CZ33" s="41"/>
      <c r="DA33" s="58"/>
      <c r="DB33" s="43"/>
      <c r="DC33" s="41"/>
      <c r="DD33" s="41"/>
      <c r="DE33" s="57" t="s">
        <v>34</v>
      </c>
      <c r="DF33" s="40"/>
      <c r="DG33" s="41"/>
      <c r="DH33" s="41"/>
      <c r="DI33" s="58" t="s">
        <v>34</v>
      </c>
      <c r="DJ33" s="43"/>
      <c r="DK33" s="41"/>
      <c r="DL33" s="41"/>
      <c r="DM33" s="58" t="s">
        <v>34</v>
      </c>
    </row>
    <row r="34" spans="1:117" ht="22.5" customHeight="1">
      <c r="A34" s="310" t="s">
        <v>77</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2"/>
      <c r="BX34" s="255" t="s">
        <v>78</v>
      </c>
      <c r="BY34" s="256"/>
      <c r="BZ34" s="256"/>
      <c r="CA34" s="256"/>
      <c r="CB34" s="256"/>
      <c r="CC34" s="256"/>
      <c r="CD34" s="256"/>
      <c r="CE34" s="257"/>
      <c r="CF34" s="258" t="s">
        <v>79</v>
      </c>
      <c r="CG34" s="256"/>
      <c r="CH34" s="256"/>
      <c r="CI34" s="256"/>
      <c r="CJ34" s="256"/>
      <c r="CK34" s="256"/>
      <c r="CL34" s="256"/>
      <c r="CM34" s="256"/>
      <c r="CN34" s="256"/>
      <c r="CO34" s="256"/>
      <c r="CP34" s="256"/>
      <c r="CQ34" s="256"/>
      <c r="CR34" s="257"/>
      <c r="CS34" s="62"/>
      <c r="CT34" s="41">
        <f t="shared" si="7"/>
        <v>4047830.64</v>
      </c>
      <c r="CU34" s="41">
        <f t="shared" si="8"/>
        <v>2189766</v>
      </c>
      <c r="CV34" s="41">
        <f t="shared" si="8"/>
        <v>2527848</v>
      </c>
      <c r="CW34" s="57" t="s">
        <v>34</v>
      </c>
      <c r="CX34" s="40">
        <f>CX35+CX36</f>
        <v>3797580.7</v>
      </c>
      <c r="CY34" s="40">
        <f>CY35+CY36</f>
        <v>2189766</v>
      </c>
      <c r="CZ34" s="40">
        <f>CZ35+CZ36</f>
        <v>2527848</v>
      </c>
      <c r="DA34" s="58"/>
      <c r="DB34" s="43">
        <f>DB35</f>
        <v>250249.93999999997</v>
      </c>
      <c r="DC34" s="43">
        <f>DC35</f>
        <v>0</v>
      </c>
      <c r="DD34" s="43">
        <f>DD35</f>
        <v>0</v>
      </c>
      <c r="DE34" s="57" t="s">
        <v>34</v>
      </c>
      <c r="DF34" s="40"/>
      <c r="DG34" s="41"/>
      <c r="DH34" s="41"/>
      <c r="DI34" s="58" t="s">
        <v>34</v>
      </c>
      <c r="DJ34" s="43">
        <f>SUM(DJ35:DJ36)</f>
        <v>0</v>
      </c>
      <c r="DK34" s="41">
        <f>SUM(DK35:DK36)</f>
        <v>0</v>
      </c>
      <c r="DL34" s="41">
        <f>SUM(DL35:DL36)</f>
        <v>0</v>
      </c>
      <c r="DM34" s="58" t="s">
        <v>34</v>
      </c>
    </row>
    <row r="35" spans="1:117" ht="22.5" customHeight="1">
      <c r="A35" s="316" t="s">
        <v>80</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8"/>
      <c r="BX35" s="255" t="s">
        <v>81</v>
      </c>
      <c r="BY35" s="256"/>
      <c r="BZ35" s="256"/>
      <c r="CA35" s="256"/>
      <c r="CB35" s="256"/>
      <c r="CC35" s="256"/>
      <c r="CD35" s="256"/>
      <c r="CE35" s="257"/>
      <c r="CF35" s="258" t="s">
        <v>79</v>
      </c>
      <c r="CG35" s="256"/>
      <c r="CH35" s="256"/>
      <c r="CI35" s="256"/>
      <c r="CJ35" s="256"/>
      <c r="CK35" s="256"/>
      <c r="CL35" s="256"/>
      <c r="CM35" s="256"/>
      <c r="CN35" s="256"/>
      <c r="CO35" s="256"/>
      <c r="CP35" s="256"/>
      <c r="CQ35" s="256"/>
      <c r="CR35" s="257"/>
      <c r="CS35" s="62"/>
      <c r="CT35" s="41">
        <f t="shared" si="7"/>
        <v>4047830.64</v>
      </c>
      <c r="CU35" s="41">
        <f t="shared" si="8"/>
        <v>2189766</v>
      </c>
      <c r="CV35" s="41">
        <f t="shared" si="8"/>
        <v>2527848</v>
      </c>
      <c r="CW35" s="57" t="s">
        <v>34</v>
      </c>
      <c r="CX35" s="40">
        <f>2817355+286739.7+258191+435295</f>
        <v>3797580.7</v>
      </c>
      <c r="CY35" s="40">
        <v>2189766</v>
      </c>
      <c r="CZ35" s="40">
        <v>2527848</v>
      </c>
      <c r="DA35" s="58"/>
      <c r="DB35" s="43">
        <f>229218+4833.86+16198.08</f>
        <v>250249.93999999997</v>
      </c>
      <c r="DC35" s="41"/>
      <c r="DD35" s="41"/>
      <c r="DE35" s="57" t="s">
        <v>34</v>
      </c>
      <c r="DF35" s="40"/>
      <c r="DG35" s="41"/>
      <c r="DH35" s="41"/>
      <c r="DI35" s="58" t="s">
        <v>34</v>
      </c>
      <c r="DJ35" s="43"/>
      <c r="DK35" s="41"/>
      <c r="DL35" s="41"/>
      <c r="DM35" s="58" t="s">
        <v>34</v>
      </c>
    </row>
    <row r="36" spans="1:117" ht="10.5" customHeight="1" thickBot="1">
      <c r="A36" s="316" t="s">
        <v>82</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8"/>
      <c r="BX36" s="319" t="s">
        <v>83</v>
      </c>
      <c r="BY36" s="320"/>
      <c r="BZ36" s="320"/>
      <c r="CA36" s="320"/>
      <c r="CB36" s="320"/>
      <c r="CC36" s="320"/>
      <c r="CD36" s="320"/>
      <c r="CE36" s="321"/>
      <c r="CF36" s="322" t="s">
        <v>79</v>
      </c>
      <c r="CG36" s="320"/>
      <c r="CH36" s="320"/>
      <c r="CI36" s="320"/>
      <c r="CJ36" s="320"/>
      <c r="CK36" s="320"/>
      <c r="CL36" s="320"/>
      <c r="CM36" s="320"/>
      <c r="CN36" s="320"/>
      <c r="CO36" s="320"/>
      <c r="CP36" s="320"/>
      <c r="CQ36" s="320"/>
      <c r="CR36" s="321"/>
      <c r="CS36" s="63"/>
      <c r="CT36" s="41">
        <f t="shared" si="7"/>
        <v>0</v>
      </c>
      <c r="CU36" s="41">
        <f t="shared" si="8"/>
        <v>0</v>
      </c>
      <c r="CV36" s="41">
        <f t="shared" si="8"/>
        <v>0</v>
      </c>
      <c r="CW36" s="64" t="s">
        <v>34</v>
      </c>
      <c r="CX36" s="65"/>
      <c r="CY36" s="66"/>
      <c r="CZ36" s="66"/>
      <c r="DA36" s="67"/>
      <c r="DB36" s="68"/>
      <c r="DC36" s="66"/>
      <c r="DD36" s="66"/>
      <c r="DE36" s="64" t="s">
        <v>34</v>
      </c>
      <c r="DF36" s="65"/>
      <c r="DG36" s="66"/>
      <c r="DH36" s="66"/>
      <c r="DI36" s="67" t="s">
        <v>34</v>
      </c>
      <c r="DJ36" s="68"/>
      <c r="DK36" s="66"/>
      <c r="DL36" s="66"/>
      <c r="DM36" s="67" t="s">
        <v>34</v>
      </c>
    </row>
    <row r="37" spans="1:117" ht="10.5" customHeight="1">
      <c r="A37" s="310" t="s">
        <v>84</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c r="BU37" s="311"/>
      <c r="BV37" s="311"/>
      <c r="BW37" s="312"/>
      <c r="BX37" s="306" t="s">
        <v>85</v>
      </c>
      <c r="BY37" s="271"/>
      <c r="BZ37" s="271"/>
      <c r="CA37" s="271"/>
      <c r="CB37" s="271"/>
      <c r="CC37" s="271"/>
      <c r="CD37" s="271"/>
      <c r="CE37" s="272"/>
      <c r="CF37" s="270" t="s">
        <v>86</v>
      </c>
      <c r="CG37" s="271"/>
      <c r="CH37" s="271"/>
      <c r="CI37" s="271"/>
      <c r="CJ37" s="271"/>
      <c r="CK37" s="271"/>
      <c r="CL37" s="271"/>
      <c r="CM37" s="271"/>
      <c r="CN37" s="271"/>
      <c r="CO37" s="271"/>
      <c r="CP37" s="271"/>
      <c r="CQ37" s="271"/>
      <c r="CR37" s="272"/>
      <c r="CS37" s="69"/>
      <c r="CT37" s="41">
        <f t="shared" si="7"/>
        <v>0</v>
      </c>
      <c r="CU37" s="41">
        <f t="shared" si="8"/>
        <v>0</v>
      </c>
      <c r="CV37" s="41">
        <f t="shared" si="8"/>
        <v>0</v>
      </c>
      <c r="CW37" s="70" t="s">
        <v>34</v>
      </c>
      <c r="CX37" s="35"/>
      <c r="CY37" s="33"/>
      <c r="CZ37" s="33"/>
      <c r="DA37" s="71"/>
      <c r="DB37" s="37"/>
      <c r="DC37" s="33"/>
      <c r="DD37" s="33"/>
      <c r="DE37" s="70" t="s">
        <v>34</v>
      </c>
      <c r="DF37" s="35"/>
      <c r="DG37" s="33"/>
      <c r="DH37" s="33"/>
      <c r="DI37" s="71" t="s">
        <v>34</v>
      </c>
      <c r="DJ37" s="37"/>
      <c r="DK37" s="33"/>
      <c r="DL37" s="33"/>
      <c r="DM37" s="71" t="s">
        <v>34</v>
      </c>
    </row>
    <row r="38" spans="1:117" s="1" customFormat="1" ht="21.75" customHeight="1">
      <c r="A38" s="227" t="s">
        <v>418</v>
      </c>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9"/>
      <c r="BX38" s="230" t="s">
        <v>88</v>
      </c>
      <c r="BY38" s="220"/>
      <c r="BZ38" s="220"/>
      <c r="CA38" s="220"/>
      <c r="CB38" s="220"/>
      <c r="CC38" s="220"/>
      <c r="CD38" s="220"/>
      <c r="CE38" s="221"/>
      <c r="CF38" s="219" t="s">
        <v>419</v>
      </c>
      <c r="CG38" s="220"/>
      <c r="CH38" s="220"/>
      <c r="CI38" s="220"/>
      <c r="CJ38" s="220"/>
      <c r="CK38" s="220"/>
      <c r="CL38" s="220"/>
      <c r="CM38" s="220"/>
      <c r="CN38" s="220"/>
      <c r="CO38" s="220"/>
      <c r="CP38" s="220"/>
      <c r="CQ38" s="220"/>
      <c r="CR38" s="221"/>
      <c r="CS38" s="95"/>
      <c r="CT38" s="123">
        <f t="shared" si="7"/>
        <v>0</v>
      </c>
      <c r="CU38" s="123">
        <f t="shared" si="8"/>
        <v>0</v>
      </c>
      <c r="CV38" s="123">
        <f t="shared" si="8"/>
        <v>0</v>
      </c>
      <c r="CW38" s="124" t="s">
        <v>34</v>
      </c>
      <c r="CX38" s="125"/>
      <c r="CY38" s="123"/>
      <c r="CZ38" s="123"/>
      <c r="DA38" s="126"/>
      <c r="DB38" s="105"/>
      <c r="DC38" s="106"/>
      <c r="DD38" s="106"/>
      <c r="DE38" s="127" t="s">
        <v>34</v>
      </c>
      <c r="DF38" s="122"/>
      <c r="DG38" s="106"/>
      <c r="DH38" s="106"/>
      <c r="DI38" s="128" t="s">
        <v>34</v>
      </c>
      <c r="DJ38" s="105"/>
      <c r="DK38" s="106"/>
      <c r="DL38" s="106"/>
      <c r="DM38" s="128" t="s">
        <v>34</v>
      </c>
    </row>
    <row r="39" spans="1:117" s="1" customFormat="1" ht="10.5" customHeight="1">
      <c r="A39" s="227" t="s">
        <v>87</v>
      </c>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9"/>
      <c r="BX39" s="230" t="s">
        <v>91</v>
      </c>
      <c r="BY39" s="220"/>
      <c r="BZ39" s="220"/>
      <c r="CA39" s="220"/>
      <c r="CB39" s="220"/>
      <c r="CC39" s="220"/>
      <c r="CD39" s="220"/>
      <c r="CE39" s="221"/>
      <c r="CF39" s="219" t="s">
        <v>89</v>
      </c>
      <c r="CG39" s="220"/>
      <c r="CH39" s="220"/>
      <c r="CI39" s="220"/>
      <c r="CJ39" s="220"/>
      <c r="CK39" s="220"/>
      <c r="CL39" s="220"/>
      <c r="CM39" s="220"/>
      <c r="CN39" s="220"/>
      <c r="CO39" s="220"/>
      <c r="CP39" s="220"/>
      <c r="CQ39" s="220"/>
      <c r="CR39" s="221"/>
      <c r="CS39" s="95"/>
      <c r="CT39" s="123">
        <f t="shared" si="7"/>
        <v>0</v>
      </c>
      <c r="CU39" s="123">
        <f>CY39+DC39+DG39+DK39</f>
        <v>0</v>
      </c>
      <c r="CV39" s="123">
        <f>CZ39+DD39+DH39+DL39</f>
        <v>0</v>
      </c>
      <c r="CW39" s="124" t="s">
        <v>34</v>
      </c>
      <c r="CX39" s="125"/>
      <c r="CY39" s="123"/>
      <c r="CZ39" s="123"/>
      <c r="DA39" s="126"/>
      <c r="DB39" s="105"/>
      <c r="DC39" s="106"/>
      <c r="DD39" s="106"/>
      <c r="DE39" s="127" t="s">
        <v>34</v>
      </c>
      <c r="DF39" s="122"/>
      <c r="DG39" s="106"/>
      <c r="DH39" s="106"/>
      <c r="DI39" s="128" t="s">
        <v>34</v>
      </c>
      <c r="DJ39" s="105"/>
      <c r="DK39" s="106"/>
      <c r="DL39" s="106"/>
      <c r="DM39" s="128" t="s">
        <v>34</v>
      </c>
    </row>
    <row r="40" spans="1:117" s="1" customFormat="1" ht="21" customHeight="1">
      <c r="A40" s="227" t="s">
        <v>90</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9"/>
      <c r="BX40" s="230" t="s">
        <v>420</v>
      </c>
      <c r="BY40" s="220"/>
      <c r="BZ40" s="220"/>
      <c r="CA40" s="220"/>
      <c r="CB40" s="220"/>
      <c r="CC40" s="220"/>
      <c r="CD40" s="220"/>
      <c r="CE40" s="221"/>
      <c r="CF40" s="219" t="s">
        <v>92</v>
      </c>
      <c r="CG40" s="220"/>
      <c r="CH40" s="220"/>
      <c r="CI40" s="220"/>
      <c r="CJ40" s="220"/>
      <c r="CK40" s="220"/>
      <c r="CL40" s="220"/>
      <c r="CM40" s="220"/>
      <c r="CN40" s="220"/>
      <c r="CO40" s="220"/>
      <c r="CP40" s="220"/>
      <c r="CQ40" s="220"/>
      <c r="CR40" s="221"/>
      <c r="CS40" s="95"/>
      <c r="CT40" s="123">
        <f t="shared" si="7"/>
        <v>0</v>
      </c>
      <c r="CU40" s="123">
        <f t="shared" si="8"/>
        <v>0</v>
      </c>
      <c r="CV40" s="123">
        <f t="shared" si="8"/>
        <v>0</v>
      </c>
      <c r="CW40" s="124" t="s">
        <v>34</v>
      </c>
      <c r="CX40" s="125"/>
      <c r="CY40" s="123"/>
      <c r="CZ40" s="123"/>
      <c r="DA40" s="126"/>
      <c r="DB40" s="105"/>
      <c r="DC40" s="106"/>
      <c r="DD40" s="106"/>
      <c r="DE40" s="127" t="s">
        <v>34</v>
      </c>
      <c r="DF40" s="122"/>
      <c r="DG40" s="106"/>
      <c r="DH40" s="106"/>
      <c r="DI40" s="128" t="s">
        <v>34</v>
      </c>
      <c r="DJ40" s="105"/>
      <c r="DK40" s="106"/>
      <c r="DL40" s="106"/>
      <c r="DM40" s="128" t="s">
        <v>34</v>
      </c>
    </row>
    <row r="41" spans="1:117" s="1" customFormat="1" ht="21.75" customHeight="1">
      <c r="A41" s="323" t="s">
        <v>93</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4"/>
      <c r="BR41" s="324"/>
      <c r="BS41" s="324"/>
      <c r="BT41" s="324"/>
      <c r="BU41" s="324"/>
      <c r="BV41" s="324"/>
      <c r="BW41" s="325"/>
      <c r="BX41" s="230" t="s">
        <v>421</v>
      </c>
      <c r="BY41" s="220"/>
      <c r="BZ41" s="220"/>
      <c r="CA41" s="220"/>
      <c r="CB41" s="220"/>
      <c r="CC41" s="220"/>
      <c r="CD41" s="220"/>
      <c r="CE41" s="221"/>
      <c r="CF41" s="219" t="s">
        <v>92</v>
      </c>
      <c r="CG41" s="220"/>
      <c r="CH41" s="220"/>
      <c r="CI41" s="220"/>
      <c r="CJ41" s="220"/>
      <c r="CK41" s="220"/>
      <c r="CL41" s="220"/>
      <c r="CM41" s="220"/>
      <c r="CN41" s="220"/>
      <c r="CO41" s="220"/>
      <c r="CP41" s="220"/>
      <c r="CQ41" s="220"/>
      <c r="CR41" s="221"/>
      <c r="CS41" s="95"/>
      <c r="CT41" s="123">
        <f t="shared" si="7"/>
        <v>0</v>
      </c>
      <c r="CU41" s="123">
        <f t="shared" si="8"/>
        <v>0</v>
      </c>
      <c r="CV41" s="123">
        <f t="shared" si="8"/>
        <v>0</v>
      </c>
      <c r="CW41" s="124" t="s">
        <v>34</v>
      </c>
      <c r="CX41" s="125"/>
      <c r="CY41" s="123"/>
      <c r="CZ41" s="123"/>
      <c r="DA41" s="126"/>
      <c r="DB41" s="105"/>
      <c r="DC41" s="106"/>
      <c r="DD41" s="106"/>
      <c r="DE41" s="127" t="s">
        <v>34</v>
      </c>
      <c r="DF41" s="122"/>
      <c r="DG41" s="106"/>
      <c r="DH41" s="106"/>
      <c r="DI41" s="128" t="s">
        <v>34</v>
      </c>
      <c r="DJ41" s="105"/>
      <c r="DK41" s="106"/>
      <c r="DL41" s="106"/>
      <c r="DM41" s="128" t="s">
        <v>34</v>
      </c>
    </row>
    <row r="42" spans="1:117" ht="10.5" customHeight="1">
      <c r="A42" s="259" t="s">
        <v>94</v>
      </c>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1"/>
      <c r="BX42" s="255" t="s">
        <v>95</v>
      </c>
      <c r="BY42" s="256"/>
      <c r="BZ42" s="256"/>
      <c r="CA42" s="256"/>
      <c r="CB42" s="256"/>
      <c r="CC42" s="256"/>
      <c r="CD42" s="256"/>
      <c r="CE42" s="257"/>
      <c r="CF42" s="258" t="s">
        <v>96</v>
      </c>
      <c r="CG42" s="256"/>
      <c r="CH42" s="256"/>
      <c r="CI42" s="256"/>
      <c r="CJ42" s="256"/>
      <c r="CK42" s="256"/>
      <c r="CL42" s="256"/>
      <c r="CM42" s="256"/>
      <c r="CN42" s="256"/>
      <c r="CO42" s="256"/>
      <c r="CP42" s="256"/>
      <c r="CQ42" s="256"/>
      <c r="CR42" s="257"/>
      <c r="CS42" s="44"/>
      <c r="CT42" s="41">
        <f t="shared" si="7"/>
        <v>0</v>
      </c>
      <c r="CU42" s="41">
        <f t="shared" si="8"/>
        <v>0</v>
      </c>
      <c r="CV42" s="41">
        <f t="shared" si="8"/>
        <v>0</v>
      </c>
      <c r="CW42" s="57" t="s">
        <v>34</v>
      </c>
      <c r="CX42" s="40"/>
      <c r="CY42" s="41"/>
      <c r="CZ42" s="41"/>
      <c r="DA42" s="58"/>
      <c r="DB42" s="43"/>
      <c r="DC42" s="41"/>
      <c r="DD42" s="41"/>
      <c r="DE42" s="57" t="s">
        <v>34</v>
      </c>
      <c r="DF42" s="40"/>
      <c r="DG42" s="41"/>
      <c r="DH42" s="41"/>
      <c r="DI42" s="58" t="s">
        <v>34</v>
      </c>
      <c r="DJ42" s="43"/>
      <c r="DK42" s="41"/>
      <c r="DL42" s="41"/>
      <c r="DM42" s="58" t="s">
        <v>34</v>
      </c>
    </row>
    <row r="43" spans="1:117" ht="21.75" customHeight="1">
      <c r="A43" s="310" t="s">
        <v>97</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2"/>
      <c r="BX43" s="255" t="s">
        <v>98</v>
      </c>
      <c r="BY43" s="256"/>
      <c r="BZ43" s="256"/>
      <c r="CA43" s="256"/>
      <c r="CB43" s="256"/>
      <c r="CC43" s="256"/>
      <c r="CD43" s="256"/>
      <c r="CE43" s="257"/>
      <c r="CF43" s="258" t="s">
        <v>99</v>
      </c>
      <c r="CG43" s="256"/>
      <c r="CH43" s="256"/>
      <c r="CI43" s="256"/>
      <c r="CJ43" s="256"/>
      <c r="CK43" s="256"/>
      <c r="CL43" s="256"/>
      <c r="CM43" s="256"/>
      <c r="CN43" s="256"/>
      <c r="CO43" s="256"/>
      <c r="CP43" s="256"/>
      <c r="CQ43" s="256"/>
      <c r="CR43" s="257"/>
      <c r="CS43" s="44"/>
      <c r="CT43" s="41">
        <f t="shared" si="7"/>
        <v>0</v>
      </c>
      <c r="CU43" s="41">
        <f t="shared" si="8"/>
        <v>0</v>
      </c>
      <c r="CV43" s="41">
        <f t="shared" si="8"/>
        <v>0</v>
      </c>
      <c r="CW43" s="57" t="s">
        <v>34</v>
      </c>
      <c r="CX43" s="40"/>
      <c r="CY43" s="41"/>
      <c r="CZ43" s="41"/>
      <c r="DA43" s="58"/>
      <c r="DB43" s="43"/>
      <c r="DC43" s="41"/>
      <c r="DD43" s="41"/>
      <c r="DE43" s="57" t="s">
        <v>34</v>
      </c>
      <c r="DF43" s="40"/>
      <c r="DG43" s="41"/>
      <c r="DH43" s="41"/>
      <c r="DI43" s="58" t="s">
        <v>34</v>
      </c>
      <c r="DJ43" s="43"/>
      <c r="DK43" s="41"/>
      <c r="DL43" s="41"/>
      <c r="DM43" s="58" t="s">
        <v>34</v>
      </c>
    </row>
    <row r="44" spans="1:117" ht="33.75" customHeight="1">
      <c r="A44" s="316" t="s">
        <v>100</v>
      </c>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8"/>
      <c r="BX44" s="255" t="s">
        <v>101</v>
      </c>
      <c r="BY44" s="256"/>
      <c r="BZ44" s="256"/>
      <c r="CA44" s="256"/>
      <c r="CB44" s="256"/>
      <c r="CC44" s="256"/>
      <c r="CD44" s="256"/>
      <c r="CE44" s="257"/>
      <c r="CF44" s="258" t="s">
        <v>102</v>
      </c>
      <c r="CG44" s="256"/>
      <c r="CH44" s="256"/>
      <c r="CI44" s="256"/>
      <c r="CJ44" s="256"/>
      <c r="CK44" s="256"/>
      <c r="CL44" s="256"/>
      <c r="CM44" s="256"/>
      <c r="CN44" s="256"/>
      <c r="CO44" s="256"/>
      <c r="CP44" s="256"/>
      <c r="CQ44" s="256"/>
      <c r="CR44" s="257"/>
      <c r="CS44" s="44"/>
      <c r="CT44" s="41">
        <f t="shared" si="7"/>
        <v>0</v>
      </c>
      <c r="CU44" s="41">
        <f aca="true" t="shared" si="11" ref="CU44:CU72">CY44+DC44+DG44+DK44</f>
        <v>0</v>
      </c>
      <c r="CV44" s="41">
        <f aca="true" t="shared" si="12" ref="CV44:CV72">CZ44+DD44+DH44+DL44</f>
        <v>0</v>
      </c>
      <c r="CW44" s="57" t="s">
        <v>34</v>
      </c>
      <c r="CX44" s="40"/>
      <c r="CY44" s="41"/>
      <c r="CZ44" s="41"/>
      <c r="DA44" s="58"/>
      <c r="DB44" s="43"/>
      <c r="DC44" s="41"/>
      <c r="DD44" s="41"/>
      <c r="DE44" s="57" t="s">
        <v>34</v>
      </c>
      <c r="DF44" s="40"/>
      <c r="DG44" s="41"/>
      <c r="DH44" s="41"/>
      <c r="DI44" s="58" t="s">
        <v>34</v>
      </c>
      <c r="DJ44" s="43"/>
      <c r="DK44" s="41"/>
      <c r="DL44" s="41"/>
      <c r="DM44" s="58" t="s">
        <v>34</v>
      </c>
    </row>
    <row r="45" spans="1:117" ht="21.75" customHeight="1">
      <c r="A45" s="310" t="s">
        <v>103</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2"/>
      <c r="BX45" s="255" t="s">
        <v>104</v>
      </c>
      <c r="BY45" s="256"/>
      <c r="BZ45" s="256"/>
      <c r="CA45" s="256"/>
      <c r="CB45" s="256"/>
      <c r="CC45" s="256"/>
      <c r="CD45" s="256"/>
      <c r="CE45" s="257"/>
      <c r="CF45" s="258" t="s">
        <v>105</v>
      </c>
      <c r="CG45" s="256"/>
      <c r="CH45" s="256"/>
      <c r="CI45" s="256"/>
      <c r="CJ45" s="256"/>
      <c r="CK45" s="256"/>
      <c r="CL45" s="256"/>
      <c r="CM45" s="256"/>
      <c r="CN45" s="256"/>
      <c r="CO45" s="256"/>
      <c r="CP45" s="256"/>
      <c r="CQ45" s="256"/>
      <c r="CR45" s="257"/>
      <c r="CS45" s="44"/>
      <c r="CT45" s="41">
        <f t="shared" si="7"/>
        <v>0</v>
      </c>
      <c r="CU45" s="41">
        <f t="shared" si="11"/>
        <v>0</v>
      </c>
      <c r="CV45" s="41">
        <f t="shared" si="12"/>
        <v>0</v>
      </c>
      <c r="CW45" s="57" t="s">
        <v>34</v>
      </c>
      <c r="CX45" s="40"/>
      <c r="CY45" s="41"/>
      <c r="CZ45" s="41"/>
      <c r="DA45" s="58"/>
      <c r="DB45" s="43"/>
      <c r="DC45" s="41"/>
      <c r="DD45" s="41"/>
      <c r="DE45" s="57" t="s">
        <v>34</v>
      </c>
      <c r="DF45" s="40"/>
      <c r="DG45" s="41"/>
      <c r="DH45" s="41"/>
      <c r="DI45" s="58" t="s">
        <v>34</v>
      </c>
      <c r="DJ45" s="43"/>
      <c r="DK45" s="41"/>
      <c r="DL45" s="41"/>
      <c r="DM45" s="58" t="s">
        <v>34</v>
      </c>
    </row>
    <row r="46" spans="1:117" ht="33.75" customHeight="1">
      <c r="A46" s="310" t="s">
        <v>106</v>
      </c>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2"/>
      <c r="BX46" s="255" t="s">
        <v>107</v>
      </c>
      <c r="BY46" s="256"/>
      <c r="BZ46" s="256"/>
      <c r="CA46" s="256"/>
      <c r="CB46" s="256"/>
      <c r="CC46" s="256"/>
      <c r="CD46" s="256"/>
      <c r="CE46" s="257"/>
      <c r="CF46" s="258" t="s">
        <v>108</v>
      </c>
      <c r="CG46" s="256"/>
      <c r="CH46" s="256"/>
      <c r="CI46" s="256"/>
      <c r="CJ46" s="256"/>
      <c r="CK46" s="256"/>
      <c r="CL46" s="256"/>
      <c r="CM46" s="256"/>
      <c r="CN46" s="256"/>
      <c r="CO46" s="256"/>
      <c r="CP46" s="256"/>
      <c r="CQ46" s="256"/>
      <c r="CR46" s="257"/>
      <c r="CS46" s="44"/>
      <c r="CT46" s="41">
        <f t="shared" si="7"/>
        <v>0</v>
      </c>
      <c r="CU46" s="41">
        <f t="shared" si="11"/>
        <v>0</v>
      </c>
      <c r="CV46" s="41">
        <f t="shared" si="12"/>
        <v>0</v>
      </c>
      <c r="CW46" s="57" t="s">
        <v>34</v>
      </c>
      <c r="CX46" s="40"/>
      <c r="CY46" s="41"/>
      <c r="CZ46" s="41"/>
      <c r="DA46" s="58"/>
      <c r="DB46" s="43"/>
      <c r="DC46" s="41"/>
      <c r="DD46" s="41"/>
      <c r="DE46" s="57" t="s">
        <v>34</v>
      </c>
      <c r="DF46" s="40"/>
      <c r="DG46" s="41"/>
      <c r="DH46" s="41"/>
      <c r="DI46" s="58" t="s">
        <v>34</v>
      </c>
      <c r="DJ46" s="43"/>
      <c r="DK46" s="41"/>
      <c r="DL46" s="41"/>
      <c r="DM46" s="58" t="s">
        <v>34</v>
      </c>
    </row>
    <row r="47" spans="1:117" ht="10.5" customHeight="1">
      <c r="A47" s="227" t="s">
        <v>422</v>
      </c>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9"/>
      <c r="BX47" s="255" t="s">
        <v>109</v>
      </c>
      <c r="BY47" s="256"/>
      <c r="BZ47" s="256"/>
      <c r="CA47" s="256"/>
      <c r="CB47" s="256"/>
      <c r="CC47" s="256"/>
      <c r="CD47" s="256"/>
      <c r="CE47" s="257"/>
      <c r="CF47" s="258" t="s">
        <v>110</v>
      </c>
      <c r="CG47" s="256"/>
      <c r="CH47" s="256"/>
      <c r="CI47" s="256"/>
      <c r="CJ47" s="256"/>
      <c r="CK47" s="256"/>
      <c r="CL47" s="256"/>
      <c r="CM47" s="256"/>
      <c r="CN47" s="256"/>
      <c r="CO47" s="256"/>
      <c r="CP47" s="256"/>
      <c r="CQ47" s="256"/>
      <c r="CR47" s="257"/>
      <c r="CS47" s="44"/>
      <c r="CT47" s="41">
        <f t="shared" si="7"/>
        <v>0</v>
      </c>
      <c r="CU47" s="41">
        <f t="shared" si="11"/>
        <v>0</v>
      </c>
      <c r="CV47" s="41">
        <f t="shared" si="12"/>
        <v>0</v>
      </c>
      <c r="CW47" s="57" t="s">
        <v>34</v>
      </c>
      <c r="CX47" s="40"/>
      <c r="CY47" s="41"/>
      <c r="CZ47" s="41"/>
      <c r="DA47" s="58"/>
      <c r="DB47" s="43"/>
      <c r="DC47" s="41"/>
      <c r="DD47" s="41"/>
      <c r="DE47" s="57" t="s">
        <v>34</v>
      </c>
      <c r="DF47" s="40"/>
      <c r="DG47" s="41"/>
      <c r="DH47" s="41"/>
      <c r="DI47" s="58" t="s">
        <v>34</v>
      </c>
      <c r="DJ47" s="43"/>
      <c r="DK47" s="41"/>
      <c r="DL47" s="41"/>
      <c r="DM47" s="58" t="s">
        <v>34</v>
      </c>
    </row>
    <row r="48" spans="1:117" ht="10.5" customHeight="1">
      <c r="A48" s="259" t="s">
        <v>111</v>
      </c>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0"/>
      <c r="BS48" s="260"/>
      <c r="BT48" s="260"/>
      <c r="BU48" s="260"/>
      <c r="BV48" s="260"/>
      <c r="BW48" s="261"/>
      <c r="BX48" s="255" t="s">
        <v>112</v>
      </c>
      <c r="BY48" s="256"/>
      <c r="BZ48" s="256"/>
      <c r="CA48" s="256"/>
      <c r="CB48" s="256"/>
      <c r="CC48" s="256"/>
      <c r="CD48" s="256"/>
      <c r="CE48" s="257"/>
      <c r="CF48" s="258" t="s">
        <v>113</v>
      </c>
      <c r="CG48" s="256"/>
      <c r="CH48" s="256"/>
      <c r="CI48" s="256"/>
      <c r="CJ48" s="256"/>
      <c r="CK48" s="256"/>
      <c r="CL48" s="256"/>
      <c r="CM48" s="256"/>
      <c r="CN48" s="256"/>
      <c r="CO48" s="256"/>
      <c r="CP48" s="256"/>
      <c r="CQ48" s="256"/>
      <c r="CR48" s="257"/>
      <c r="CS48" s="44"/>
      <c r="CT48" s="41">
        <f t="shared" si="7"/>
        <v>70007</v>
      </c>
      <c r="CU48" s="41">
        <f t="shared" si="11"/>
        <v>44805</v>
      </c>
      <c r="CV48" s="41">
        <f t="shared" si="12"/>
        <v>44805</v>
      </c>
      <c r="CW48" s="57" t="s">
        <v>34</v>
      </c>
      <c r="CX48" s="40">
        <f>CX50+CX51+CX49</f>
        <v>70007</v>
      </c>
      <c r="CY48" s="40">
        <f>CY50+CY51+CY49</f>
        <v>44805</v>
      </c>
      <c r="CZ48" s="40">
        <f>CZ50+CZ51+CZ49</f>
        <v>44805</v>
      </c>
      <c r="DA48" s="40"/>
      <c r="DB48" s="40">
        <f aca="true" t="shared" si="13" ref="DB48:DL48">DB50+DB51+DB49</f>
        <v>0</v>
      </c>
      <c r="DC48" s="40">
        <f t="shared" si="13"/>
        <v>0</v>
      </c>
      <c r="DD48" s="40">
        <f t="shared" si="13"/>
        <v>0</v>
      </c>
      <c r="DE48" s="40" t="s">
        <v>34</v>
      </c>
      <c r="DF48" s="40">
        <f t="shared" si="13"/>
        <v>0</v>
      </c>
      <c r="DG48" s="40">
        <f t="shared" si="13"/>
        <v>0</v>
      </c>
      <c r="DH48" s="40">
        <f t="shared" si="13"/>
        <v>0</v>
      </c>
      <c r="DI48" s="40" t="s">
        <v>34</v>
      </c>
      <c r="DJ48" s="40">
        <f t="shared" si="13"/>
        <v>0</v>
      </c>
      <c r="DK48" s="40">
        <f t="shared" si="13"/>
        <v>0</v>
      </c>
      <c r="DL48" s="40">
        <f t="shared" si="13"/>
        <v>0</v>
      </c>
      <c r="DM48" s="40" t="s">
        <v>34</v>
      </c>
    </row>
    <row r="49" spans="1:117" ht="21.75" customHeight="1">
      <c r="A49" s="310" t="s">
        <v>114</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2"/>
      <c r="BX49" s="255" t="s">
        <v>115</v>
      </c>
      <c r="BY49" s="256"/>
      <c r="BZ49" s="256"/>
      <c r="CA49" s="256"/>
      <c r="CB49" s="256"/>
      <c r="CC49" s="256"/>
      <c r="CD49" s="256"/>
      <c r="CE49" s="257"/>
      <c r="CF49" s="258" t="s">
        <v>116</v>
      </c>
      <c r="CG49" s="256"/>
      <c r="CH49" s="256"/>
      <c r="CI49" s="256"/>
      <c r="CJ49" s="256"/>
      <c r="CK49" s="256"/>
      <c r="CL49" s="256"/>
      <c r="CM49" s="256"/>
      <c r="CN49" s="256"/>
      <c r="CO49" s="256"/>
      <c r="CP49" s="256"/>
      <c r="CQ49" s="256"/>
      <c r="CR49" s="257"/>
      <c r="CS49" s="44"/>
      <c r="CT49" s="41">
        <f t="shared" si="7"/>
        <v>70007</v>
      </c>
      <c r="CU49" s="41">
        <f t="shared" si="11"/>
        <v>44285</v>
      </c>
      <c r="CV49" s="41">
        <f t="shared" si="12"/>
        <v>44285</v>
      </c>
      <c r="CW49" s="57" t="s">
        <v>34</v>
      </c>
      <c r="CX49" s="40">
        <f>44285+7000+18722</f>
        <v>70007</v>
      </c>
      <c r="CY49" s="40">
        <v>44285</v>
      </c>
      <c r="CZ49" s="40">
        <v>44285</v>
      </c>
      <c r="DA49" s="58"/>
      <c r="DB49" s="43"/>
      <c r="DC49" s="41"/>
      <c r="DD49" s="41"/>
      <c r="DE49" s="57" t="s">
        <v>34</v>
      </c>
      <c r="DF49" s="40"/>
      <c r="DG49" s="41"/>
      <c r="DH49" s="41"/>
      <c r="DI49" s="58" t="s">
        <v>34</v>
      </c>
      <c r="DJ49" s="43"/>
      <c r="DK49" s="41"/>
      <c r="DL49" s="41"/>
      <c r="DM49" s="58" t="s">
        <v>34</v>
      </c>
    </row>
    <row r="50" spans="1:117" ht="21.75" customHeight="1">
      <c r="A50" s="310" t="s">
        <v>117</v>
      </c>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2"/>
      <c r="BX50" s="255" t="s">
        <v>118</v>
      </c>
      <c r="BY50" s="256"/>
      <c r="BZ50" s="256"/>
      <c r="CA50" s="256"/>
      <c r="CB50" s="256"/>
      <c r="CC50" s="256"/>
      <c r="CD50" s="256"/>
      <c r="CE50" s="257"/>
      <c r="CF50" s="258" t="s">
        <v>119</v>
      </c>
      <c r="CG50" s="256"/>
      <c r="CH50" s="256"/>
      <c r="CI50" s="256"/>
      <c r="CJ50" s="256"/>
      <c r="CK50" s="256"/>
      <c r="CL50" s="256"/>
      <c r="CM50" s="256"/>
      <c r="CN50" s="256"/>
      <c r="CO50" s="256"/>
      <c r="CP50" s="256"/>
      <c r="CQ50" s="256"/>
      <c r="CR50" s="257"/>
      <c r="CS50" s="44"/>
      <c r="CT50" s="41">
        <v>0</v>
      </c>
      <c r="CU50" s="41">
        <v>0</v>
      </c>
      <c r="CV50" s="41">
        <v>0</v>
      </c>
      <c r="CW50" s="57" t="s">
        <v>34</v>
      </c>
      <c r="CX50" s="40"/>
      <c r="CY50" s="40"/>
      <c r="CZ50" s="40"/>
      <c r="DA50" s="58"/>
      <c r="DB50" s="43"/>
      <c r="DC50" s="41"/>
      <c r="DD50" s="41"/>
      <c r="DE50" s="57" t="s">
        <v>34</v>
      </c>
      <c r="DF50" s="40"/>
      <c r="DG50" s="41"/>
      <c r="DH50" s="41"/>
      <c r="DI50" s="58" t="s">
        <v>34</v>
      </c>
      <c r="DJ50" s="43"/>
      <c r="DK50" s="41"/>
      <c r="DL50" s="41"/>
      <c r="DM50" s="58" t="s">
        <v>34</v>
      </c>
    </row>
    <row r="51" spans="1:117" ht="10.5" customHeight="1">
      <c r="A51" s="310" t="s">
        <v>120</v>
      </c>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2"/>
      <c r="BX51" s="255" t="s">
        <v>121</v>
      </c>
      <c r="BY51" s="256"/>
      <c r="BZ51" s="256"/>
      <c r="CA51" s="256"/>
      <c r="CB51" s="256"/>
      <c r="CC51" s="256"/>
      <c r="CD51" s="256"/>
      <c r="CE51" s="257"/>
      <c r="CF51" s="258" t="s">
        <v>122</v>
      </c>
      <c r="CG51" s="256"/>
      <c r="CH51" s="256"/>
      <c r="CI51" s="256"/>
      <c r="CJ51" s="256"/>
      <c r="CK51" s="256"/>
      <c r="CL51" s="256"/>
      <c r="CM51" s="256"/>
      <c r="CN51" s="256"/>
      <c r="CO51" s="256"/>
      <c r="CP51" s="256"/>
      <c r="CQ51" s="256"/>
      <c r="CR51" s="257"/>
      <c r="CS51" s="44"/>
      <c r="CT51" s="41">
        <v>520</v>
      </c>
      <c r="CU51" s="41">
        <v>520</v>
      </c>
      <c r="CV51" s="41">
        <v>520</v>
      </c>
      <c r="CW51" s="57" t="s">
        <v>34</v>
      </c>
      <c r="CX51" s="40">
        <v>0</v>
      </c>
      <c r="CY51" s="40">
        <v>520</v>
      </c>
      <c r="CZ51" s="40">
        <v>520</v>
      </c>
      <c r="DA51" s="58"/>
      <c r="DB51" s="43"/>
      <c r="DC51" s="41"/>
      <c r="DD51" s="41"/>
      <c r="DE51" s="57" t="s">
        <v>34</v>
      </c>
      <c r="DF51" s="40"/>
      <c r="DG51" s="41"/>
      <c r="DH51" s="41"/>
      <c r="DI51" s="58" t="s">
        <v>34</v>
      </c>
      <c r="DJ51" s="43"/>
      <c r="DK51" s="41"/>
      <c r="DL51" s="41"/>
      <c r="DM51" s="58" t="s">
        <v>34</v>
      </c>
    </row>
    <row r="52" spans="1:117" ht="10.5" customHeight="1">
      <c r="A52" s="259" t="s">
        <v>123</v>
      </c>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1"/>
      <c r="BX52" s="255" t="s">
        <v>124</v>
      </c>
      <c r="BY52" s="256"/>
      <c r="BZ52" s="256"/>
      <c r="CA52" s="256"/>
      <c r="CB52" s="256"/>
      <c r="CC52" s="256"/>
      <c r="CD52" s="256"/>
      <c r="CE52" s="257"/>
      <c r="CF52" s="258" t="s">
        <v>34</v>
      </c>
      <c r="CG52" s="256"/>
      <c r="CH52" s="256"/>
      <c r="CI52" s="256"/>
      <c r="CJ52" s="256"/>
      <c r="CK52" s="256"/>
      <c r="CL52" s="256"/>
      <c r="CM52" s="256"/>
      <c r="CN52" s="256"/>
      <c r="CO52" s="256"/>
      <c r="CP52" s="256"/>
      <c r="CQ52" s="256"/>
      <c r="CR52" s="257"/>
      <c r="CS52" s="44"/>
      <c r="CT52" s="41">
        <f aca="true" t="shared" si="14" ref="CT52:CT72">CX52+DB52+DF52+DJ52</f>
        <v>0</v>
      </c>
      <c r="CU52" s="41">
        <f t="shared" si="11"/>
        <v>0</v>
      </c>
      <c r="CV52" s="41">
        <f t="shared" si="12"/>
        <v>0</v>
      </c>
      <c r="CW52" s="57" t="s">
        <v>34</v>
      </c>
      <c r="CX52" s="40"/>
      <c r="CY52" s="41"/>
      <c r="CZ52" s="41"/>
      <c r="DA52" s="58"/>
      <c r="DB52" s="43"/>
      <c r="DC52" s="41"/>
      <c r="DD52" s="41"/>
      <c r="DE52" s="57" t="s">
        <v>34</v>
      </c>
      <c r="DF52" s="40"/>
      <c r="DG52" s="41"/>
      <c r="DH52" s="41"/>
      <c r="DI52" s="58" t="s">
        <v>34</v>
      </c>
      <c r="DJ52" s="43"/>
      <c r="DK52" s="41"/>
      <c r="DL52" s="41"/>
      <c r="DM52" s="58" t="s">
        <v>34</v>
      </c>
    </row>
    <row r="53" spans="1:117" s="1" customFormat="1" ht="21.75" customHeight="1">
      <c r="A53" s="227" t="s">
        <v>423</v>
      </c>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9"/>
      <c r="BX53" s="230" t="s">
        <v>125</v>
      </c>
      <c r="BY53" s="220"/>
      <c r="BZ53" s="220"/>
      <c r="CA53" s="220"/>
      <c r="CB53" s="220"/>
      <c r="CC53" s="220"/>
      <c r="CD53" s="220"/>
      <c r="CE53" s="221"/>
      <c r="CF53" s="219" t="s">
        <v>424</v>
      </c>
      <c r="CG53" s="220"/>
      <c r="CH53" s="220"/>
      <c r="CI53" s="220"/>
      <c r="CJ53" s="220"/>
      <c r="CK53" s="220"/>
      <c r="CL53" s="220"/>
      <c r="CM53" s="220"/>
      <c r="CN53" s="220"/>
      <c r="CO53" s="220"/>
      <c r="CP53" s="220"/>
      <c r="CQ53" s="220"/>
      <c r="CR53" s="221"/>
      <c r="CS53" s="95"/>
      <c r="CT53" s="123">
        <f t="shared" si="14"/>
        <v>0</v>
      </c>
      <c r="CU53" s="123">
        <f t="shared" si="11"/>
        <v>0</v>
      </c>
      <c r="CV53" s="123">
        <f t="shared" si="12"/>
        <v>0</v>
      </c>
      <c r="CW53" s="124" t="s">
        <v>34</v>
      </c>
      <c r="CX53" s="125"/>
      <c r="CY53" s="123"/>
      <c r="CZ53" s="123"/>
      <c r="DA53" s="126"/>
      <c r="DB53" s="105"/>
      <c r="DC53" s="106"/>
      <c r="DD53" s="106"/>
      <c r="DE53" s="127" t="s">
        <v>34</v>
      </c>
      <c r="DF53" s="122"/>
      <c r="DG53" s="106"/>
      <c r="DH53" s="106"/>
      <c r="DI53" s="128" t="s">
        <v>34</v>
      </c>
      <c r="DJ53" s="105"/>
      <c r="DK53" s="106"/>
      <c r="DL53" s="106"/>
      <c r="DM53" s="128" t="s">
        <v>34</v>
      </c>
    </row>
    <row r="54" spans="1:117" s="1" customFormat="1" ht="10.5" customHeight="1">
      <c r="A54" s="227" t="s">
        <v>425</v>
      </c>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8"/>
      <c r="BU54" s="228"/>
      <c r="BV54" s="228"/>
      <c r="BW54" s="229"/>
      <c r="BX54" s="230" t="s">
        <v>128</v>
      </c>
      <c r="BY54" s="220"/>
      <c r="BZ54" s="220"/>
      <c r="CA54" s="220"/>
      <c r="CB54" s="220"/>
      <c r="CC54" s="220"/>
      <c r="CD54" s="220"/>
      <c r="CE54" s="221"/>
      <c r="CF54" s="219" t="s">
        <v>426</v>
      </c>
      <c r="CG54" s="220"/>
      <c r="CH54" s="220"/>
      <c r="CI54" s="220"/>
      <c r="CJ54" s="220"/>
      <c r="CK54" s="220"/>
      <c r="CL54" s="220"/>
      <c r="CM54" s="220"/>
      <c r="CN54" s="220"/>
      <c r="CO54" s="220"/>
      <c r="CP54" s="220"/>
      <c r="CQ54" s="220"/>
      <c r="CR54" s="221"/>
      <c r="CS54" s="95"/>
      <c r="CT54" s="123">
        <f t="shared" si="14"/>
        <v>0</v>
      </c>
      <c r="CU54" s="123">
        <f t="shared" si="11"/>
        <v>0</v>
      </c>
      <c r="CV54" s="123">
        <f t="shared" si="12"/>
        <v>0</v>
      </c>
      <c r="CW54" s="124" t="s">
        <v>34</v>
      </c>
      <c r="CX54" s="125"/>
      <c r="CY54" s="123"/>
      <c r="CZ54" s="123"/>
      <c r="DA54" s="126"/>
      <c r="DB54" s="105"/>
      <c r="DC54" s="106"/>
      <c r="DD54" s="106"/>
      <c r="DE54" s="127" t="s">
        <v>34</v>
      </c>
      <c r="DF54" s="122"/>
      <c r="DG54" s="106"/>
      <c r="DH54" s="106"/>
      <c r="DI54" s="128" t="s">
        <v>34</v>
      </c>
      <c r="DJ54" s="105"/>
      <c r="DK54" s="106"/>
      <c r="DL54" s="106"/>
      <c r="DM54" s="128" t="s">
        <v>34</v>
      </c>
    </row>
    <row r="55" spans="1:117" s="1" customFormat="1" ht="21.75" customHeight="1">
      <c r="A55" s="227" t="s">
        <v>427</v>
      </c>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8"/>
      <c r="BU55" s="228"/>
      <c r="BV55" s="228"/>
      <c r="BW55" s="229"/>
      <c r="BX55" s="230" t="s">
        <v>131</v>
      </c>
      <c r="BY55" s="220"/>
      <c r="BZ55" s="220"/>
      <c r="CA55" s="220"/>
      <c r="CB55" s="220"/>
      <c r="CC55" s="220"/>
      <c r="CD55" s="220"/>
      <c r="CE55" s="221"/>
      <c r="CF55" s="219" t="s">
        <v>428</v>
      </c>
      <c r="CG55" s="220"/>
      <c r="CH55" s="220"/>
      <c r="CI55" s="220"/>
      <c r="CJ55" s="220"/>
      <c r="CK55" s="220"/>
      <c r="CL55" s="220"/>
      <c r="CM55" s="220"/>
      <c r="CN55" s="220"/>
      <c r="CO55" s="220"/>
      <c r="CP55" s="220"/>
      <c r="CQ55" s="220"/>
      <c r="CR55" s="221"/>
      <c r="CS55" s="95"/>
      <c r="CT55" s="123">
        <f t="shared" si="14"/>
        <v>0</v>
      </c>
      <c r="CU55" s="123">
        <f t="shared" si="11"/>
        <v>0</v>
      </c>
      <c r="CV55" s="123">
        <f t="shared" si="12"/>
        <v>0</v>
      </c>
      <c r="CW55" s="124" t="s">
        <v>34</v>
      </c>
      <c r="CX55" s="125"/>
      <c r="CY55" s="123"/>
      <c r="CZ55" s="123"/>
      <c r="DA55" s="126"/>
      <c r="DB55" s="105"/>
      <c r="DC55" s="106"/>
      <c r="DD55" s="106"/>
      <c r="DE55" s="127" t="s">
        <v>34</v>
      </c>
      <c r="DF55" s="122"/>
      <c r="DG55" s="106"/>
      <c r="DH55" s="106"/>
      <c r="DI55" s="128" t="s">
        <v>34</v>
      </c>
      <c r="DJ55" s="105"/>
      <c r="DK55" s="106"/>
      <c r="DL55" s="106"/>
      <c r="DM55" s="128" t="s">
        <v>34</v>
      </c>
    </row>
    <row r="56" spans="1:117" s="1" customFormat="1" ht="12" customHeight="1">
      <c r="A56" s="227" t="s">
        <v>429</v>
      </c>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9"/>
      <c r="BX56" s="230" t="s">
        <v>430</v>
      </c>
      <c r="BY56" s="220"/>
      <c r="BZ56" s="220"/>
      <c r="CA56" s="220"/>
      <c r="CB56" s="220"/>
      <c r="CC56" s="220"/>
      <c r="CD56" s="220"/>
      <c r="CE56" s="221"/>
      <c r="CF56" s="219" t="s">
        <v>126</v>
      </c>
      <c r="CG56" s="220"/>
      <c r="CH56" s="220"/>
      <c r="CI56" s="220"/>
      <c r="CJ56" s="220"/>
      <c r="CK56" s="220"/>
      <c r="CL56" s="220"/>
      <c r="CM56" s="220"/>
      <c r="CN56" s="220"/>
      <c r="CO56" s="220"/>
      <c r="CP56" s="220"/>
      <c r="CQ56" s="220"/>
      <c r="CR56" s="221"/>
      <c r="CS56" s="95"/>
      <c r="CT56" s="123">
        <f t="shared" si="14"/>
        <v>0</v>
      </c>
      <c r="CU56" s="123">
        <f aca="true" t="shared" si="15" ref="CU56:CV58">CY56+DC56+DG56+DK56</f>
        <v>0</v>
      </c>
      <c r="CV56" s="123">
        <f t="shared" si="15"/>
        <v>0</v>
      </c>
      <c r="CW56" s="124" t="s">
        <v>34</v>
      </c>
      <c r="CX56" s="125"/>
      <c r="CY56" s="123"/>
      <c r="CZ56" s="123"/>
      <c r="DA56" s="126"/>
      <c r="DB56" s="105"/>
      <c r="DC56" s="106"/>
      <c r="DD56" s="106"/>
      <c r="DE56" s="127" t="s">
        <v>34</v>
      </c>
      <c r="DF56" s="122"/>
      <c r="DG56" s="106"/>
      <c r="DH56" s="106"/>
      <c r="DI56" s="128" t="s">
        <v>34</v>
      </c>
      <c r="DJ56" s="105"/>
      <c r="DK56" s="106"/>
      <c r="DL56" s="106"/>
      <c r="DM56" s="128" t="s">
        <v>34</v>
      </c>
    </row>
    <row r="57" spans="1:117" s="1" customFormat="1" ht="12" customHeight="1">
      <c r="A57" s="227" t="s">
        <v>127</v>
      </c>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9"/>
      <c r="BX57" s="230" t="s">
        <v>431</v>
      </c>
      <c r="BY57" s="220"/>
      <c r="BZ57" s="220"/>
      <c r="CA57" s="220"/>
      <c r="CB57" s="220"/>
      <c r="CC57" s="220"/>
      <c r="CD57" s="220"/>
      <c r="CE57" s="221"/>
      <c r="CF57" s="219" t="s">
        <v>129</v>
      </c>
      <c r="CG57" s="220"/>
      <c r="CH57" s="220"/>
      <c r="CI57" s="220"/>
      <c r="CJ57" s="220"/>
      <c r="CK57" s="220"/>
      <c r="CL57" s="220"/>
      <c r="CM57" s="220"/>
      <c r="CN57" s="220"/>
      <c r="CO57" s="220"/>
      <c r="CP57" s="220"/>
      <c r="CQ57" s="220"/>
      <c r="CR57" s="221"/>
      <c r="CS57" s="95"/>
      <c r="CT57" s="123">
        <f t="shared" si="14"/>
        <v>0</v>
      </c>
      <c r="CU57" s="123">
        <f t="shared" si="15"/>
        <v>0</v>
      </c>
      <c r="CV57" s="123">
        <f t="shared" si="15"/>
        <v>0</v>
      </c>
      <c r="CW57" s="124" t="s">
        <v>34</v>
      </c>
      <c r="CX57" s="125"/>
      <c r="CY57" s="123"/>
      <c r="CZ57" s="123"/>
      <c r="DA57" s="126"/>
      <c r="DB57" s="105"/>
      <c r="DC57" s="106"/>
      <c r="DD57" s="106"/>
      <c r="DE57" s="127" t="s">
        <v>34</v>
      </c>
      <c r="DF57" s="122"/>
      <c r="DG57" s="106"/>
      <c r="DH57" s="106"/>
      <c r="DI57" s="128" t="s">
        <v>34</v>
      </c>
      <c r="DJ57" s="105"/>
      <c r="DK57" s="106"/>
      <c r="DL57" s="106"/>
      <c r="DM57" s="128" t="s">
        <v>34</v>
      </c>
    </row>
    <row r="58" spans="1:117" s="1" customFormat="1" ht="21.75" customHeight="1">
      <c r="A58" s="227" t="s">
        <v>130</v>
      </c>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9"/>
      <c r="BX58" s="230" t="s">
        <v>432</v>
      </c>
      <c r="BY58" s="220"/>
      <c r="BZ58" s="220"/>
      <c r="CA58" s="220"/>
      <c r="CB58" s="220"/>
      <c r="CC58" s="220"/>
      <c r="CD58" s="220"/>
      <c r="CE58" s="221"/>
      <c r="CF58" s="219" t="s">
        <v>132</v>
      </c>
      <c r="CG58" s="220"/>
      <c r="CH58" s="220"/>
      <c r="CI58" s="220"/>
      <c r="CJ58" s="220"/>
      <c r="CK58" s="220"/>
      <c r="CL58" s="220"/>
      <c r="CM58" s="220"/>
      <c r="CN58" s="220"/>
      <c r="CO58" s="220"/>
      <c r="CP58" s="220"/>
      <c r="CQ58" s="220"/>
      <c r="CR58" s="221"/>
      <c r="CS58" s="95"/>
      <c r="CT58" s="123">
        <f t="shared" si="14"/>
        <v>0</v>
      </c>
      <c r="CU58" s="123">
        <f t="shared" si="15"/>
        <v>0</v>
      </c>
      <c r="CV58" s="123">
        <f t="shared" si="15"/>
        <v>0</v>
      </c>
      <c r="CW58" s="124" t="s">
        <v>34</v>
      </c>
      <c r="CX58" s="125"/>
      <c r="CY58" s="123"/>
      <c r="CZ58" s="123"/>
      <c r="DA58" s="126"/>
      <c r="DB58" s="105"/>
      <c r="DC58" s="106"/>
      <c r="DD58" s="106"/>
      <c r="DE58" s="127" t="s">
        <v>34</v>
      </c>
      <c r="DF58" s="122"/>
      <c r="DG58" s="106"/>
      <c r="DH58" s="106"/>
      <c r="DI58" s="128" t="s">
        <v>34</v>
      </c>
      <c r="DJ58" s="105"/>
      <c r="DK58" s="106"/>
      <c r="DL58" s="106"/>
      <c r="DM58" s="128" t="s">
        <v>34</v>
      </c>
    </row>
    <row r="59" spans="1:117" ht="10.5" customHeight="1">
      <c r="A59" s="259" t="s">
        <v>133</v>
      </c>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1"/>
      <c r="BX59" s="255" t="s">
        <v>134</v>
      </c>
      <c r="BY59" s="256"/>
      <c r="BZ59" s="256"/>
      <c r="CA59" s="256"/>
      <c r="CB59" s="256"/>
      <c r="CC59" s="256"/>
      <c r="CD59" s="256"/>
      <c r="CE59" s="257"/>
      <c r="CF59" s="258" t="s">
        <v>34</v>
      </c>
      <c r="CG59" s="256"/>
      <c r="CH59" s="256"/>
      <c r="CI59" s="256"/>
      <c r="CJ59" s="256"/>
      <c r="CK59" s="256"/>
      <c r="CL59" s="256"/>
      <c r="CM59" s="256"/>
      <c r="CN59" s="256"/>
      <c r="CO59" s="256"/>
      <c r="CP59" s="256"/>
      <c r="CQ59" s="256"/>
      <c r="CR59" s="257"/>
      <c r="CS59" s="44"/>
      <c r="CT59" s="41">
        <f t="shared" si="14"/>
        <v>0</v>
      </c>
      <c r="CU59" s="41">
        <f t="shared" si="11"/>
        <v>0</v>
      </c>
      <c r="CV59" s="41">
        <f t="shared" si="12"/>
        <v>0</v>
      </c>
      <c r="CW59" s="57" t="s">
        <v>34</v>
      </c>
      <c r="CX59" s="40"/>
      <c r="CY59" s="41"/>
      <c r="CZ59" s="41"/>
      <c r="DA59" s="58"/>
      <c r="DB59" s="43"/>
      <c r="DC59" s="41"/>
      <c r="DD59" s="41"/>
      <c r="DE59" s="57" t="s">
        <v>34</v>
      </c>
      <c r="DF59" s="40"/>
      <c r="DG59" s="41"/>
      <c r="DH59" s="41"/>
      <c r="DI59" s="58" t="s">
        <v>34</v>
      </c>
      <c r="DJ59" s="43"/>
      <c r="DK59" s="41"/>
      <c r="DL59" s="41"/>
      <c r="DM59" s="58" t="s">
        <v>34</v>
      </c>
    </row>
    <row r="60" spans="1:117" ht="21.75" customHeight="1">
      <c r="A60" s="310" t="s">
        <v>135</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c r="BV60" s="311"/>
      <c r="BW60" s="312"/>
      <c r="BX60" s="255" t="s">
        <v>136</v>
      </c>
      <c r="BY60" s="256"/>
      <c r="BZ60" s="256"/>
      <c r="CA60" s="256"/>
      <c r="CB60" s="256"/>
      <c r="CC60" s="256"/>
      <c r="CD60" s="256"/>
      <c r="CE60" s="257"/>
      <c r="CF60" s="258" t="s">
        <v>137</v>
      </c>
      <c r="CG60" s="256"/>
      <c r="CH60" s="256"/>
      <c r="CI60" s="256"/>
      <c r="CJ60" s="256"/>
      <c r="CK60" s="256"/>
      <c r="CL60" s="256"/>
      <c r="CM60" s="256"/>
      <c r="CN60" s="256"/>
      <c r="CO60" s="256"/>
      <c r="CP60" s="256"/>
      <c r="CQ60" s="256"/>
      <c r="CR60" s="257"/>
      <c r="CS60" s="44"/>
      <c r="CT60" s="41">
        <f t="shared" si="14"/>
        <v>0</v>
      </c>
      <c r="CU60" s="41">
        <f t="shared" si="11"/>
        <v>0</v>
      </c>
      <c r="CV60" s="41">
        <f t="shared" si="12"/>
        <v>0</v>
      </c>
      <c r="CW60" s="57" t="s">
        <v>34</v>
      </c>
      <c r="CX60" s="40"/>
      <c r="CY60" s="41"/>
      <c r="CZ60" s="41"/>
      <c r="DA60" s="58"/>
      <c r="DB60" s="43"/>
      <c r="DC60" s="41"/>
      <c r="DD60" s="41"/>
      <c r="DE60" s="57" t="s">
        <v>34</v>
      </c>
      <c r="DF60" s="40"/>
      <c r="DG60" s="41"/>
      <c r="DH60" s="41"/>
      <c r="DI60" s="58" t="s">
        <v>34</v>
      </c>
      <c r="DJ60" s="43"/>
      <c r="DK60" s="41"/>
      <c r="DL60" s="41"/>
      <c r="DM60" s="58" t="s">
        <v>34</v>
      </c>
    </row>
    <row r="61" spans="1:117" ht="12.75" customHeight="1">
      <c r="A61" s="259" t="s">
        <v>138</v>
      </c>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c r="BU61" s="260"/>
      <c r="BV61" s="260"/>
      <c r="BW61" s="261"/>
      <c r="BX61" s="255" t="s">
        <v>139</v>
      </c>
      <c r="BY61" s="256"/>
      <c r="BZ61" s="256"/>
      <c r="CA61" s="256"/>
      <c r="CB61" s="256"/>
      <c r="CC61" s="256"/>
      <c r="CD61" s="256"/>
      <c r="CE61" s="257"/>
      <c r="CF61" s="258" t="s">
        <v>34</v>
      </c>
      <c r="CG61" s="256"/>
      <c r="CH61" s="256"/>
      <c r="CI61" s="256"/>
      <c r="CJ61" s="256"/>
      <c r="CK61" s="256"/>
      <c r="CL61" s="256"/>
      <c r="CM61" s="256"/>
      <c r="CN61" s="256"/>
      <c r="CO61" s="256"/>
      <c r="CP61" s="256"/>
      <c r="CQ61" s="256"/>
      <c r="CR61" s="257"/>
      <c r="CS61" s="44"/>
      <c r="CT61" s="41">
        <f t="shared" si="14"/>
        <v>4460640.59</v>
      </c>
      <c r="CU61" s="41">
        <f t="shared" si="11"/>
        <v>3273107.84</v>
      </c>
      <c r="CV61" s="41">
        <f t="shared" si="12"/>
        <v>3273107.84</v>
      </c>
      <c r="CW61" s="72"/>
      <c r="CX61" s="40">
        <f>CX62+CX63+CX64+CX65+CX66</f>
        <v>2226202.76</v>
      </c>
      <c r="CY61" s="40">
        <f aca="true" t="shared" si="16" ref="CY61:DM61">CY62+CY63+CY64+CY65+CY66</f>
        <v>1673274</v>
      </c>
      <c r="CZ61" s="40">
        <f t="shared" si="16"/>
        <v>1673274</v>
      </c>
      <c r="DA61" s="40">
        <f t="shared" si="16"/>
        <v>483660.7</v>
      </c>
      <c r="DB61" s="40">
        <f t="shared" si="16"/>
        <v>1287396</v>
      </c>
      <c r="DC61" s="40">
        <f t="shared" si="16"/>
        <v>804197</v>
      </c>
      <c r="DD61" s="40">
        <f t="shared" si="16"/>
        <v>804197</v>
      </c>
      <c r="DE61" s="40">
        <f t="shared" si="16"/>
        <v>0</v>
      </c>
      <c r="DF61" s="40">
        <f t="shared" si="16"/>
        <v>0</v>
      </c>
      <c r="DG61" s="40">
        <f t="shared" si="16"/>
        <v>0</v>
      </c>
      <c r="DH61" s="40">
        <f t="shared" si="16"/>
        <v>0</v>
      </c>
      <c r="DI61" s="40">
        <f t="shared" si="16"/>
        <v>0</v>
      </c>
      <c r="DJ61" s="40">
        <f t="shared" si="16"/>
        <v>947041.8300000001</v>
      </c>
      <c r="DK61" s="40">
        <f t="shared" si="16"/>
        <v>795636.8400000001</v>
      </c>
      <c r="DL61" s="40">
        <f t="shared" si="16"/>
        <v>795636.8400000001</v>
      </c>
      <c r="DM61" s="40">
        <f t="shared" si="16"/>
        <v>0</v>
      </c>
    </row>
    <row r="62" spans="1:117" ht="21.75" customHeight="1" thickBot="1">
      <c r="A62" s="310" t="s">
        <v>140</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2"/>
      <c r="BX62" s="255" t="s">
        <v>141</v>
      </c>
      <c r="BY62" s="256"/>
      <c r="BZ62" s="256"/>
      <c r="CA62" s="256"/>
      <c r="CB62" s="256"/>
      <c r="CC62" s="256"/>
      <c r="CD62" s="256"/>
      <c r="CE62" s="257"/>
      <c r="CF62" s="258" t="s">
        <v>142</v>
      </c>
      <c r="CG62" s="256"/>
      <c r="CH62" s="256"/>
      <c r="CI62" s="256"/>
      <c r="CJ62" s="256"/>
      <c r="CK62" s="256"/>
      <c r="CL62" s="256"/>
      <c r="CM62" s="256"/>
      <c r="CN62" s="256"/>
      <c r="CO62" s="256"/>
      <c r="CP62" s="256"/>
      <c r="CQ62" s="256"/>
      <c r="CR62" s="257"/>
      <c r="CS62" s="44"/>
      <c r="CT62" s="41">
        <f t="shared" si="14"/>
        <v>0</v>
      </c>
      <c r="CU62" s="41">
        <f t="shared" si="11"/>
        <v>0</v>
      </c>
      <c r="CV62" s="41">
        <f t="shared" si="12"/>
        <v>0</v>
      </c>
      <c r="CW62" s="72"/>
      <c r="CX62" s="40"/>
      <c r="CY62" s="41"/>
      <c r="CZ62" s="41"/>
      <c r="DA62" s="73"/>
      <c r="DB62" s="43"/>
      <c r="DC62" s="41"/>
      <c r="DD62" s="41"/>
      <c r="DE62" s="72"/>
      <c r="DF62" s="40"/>
      <c r="DG62" s="41"/>
      <c r="DH62" s="41"/>
      <c r="DI62" s="73"/>
      <c r="DJ62" s="43"/>
      <c r="DK62" s="41"/>
      <c r="DL62" s="41"/>
      <c r="DM62" s="74"/>
    </row>
    <row r="63" spans="1:117" ht="21.75" customHeight="1">
      <c r="A63" s="310" t="s">
        <v>143</v>
      </c>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c r="BV63" s="311"/>
      <c r="BW63" s="312"/>
      <c r="BX63" s="306" t="s">
        <v>481</v>
      </c>
      <c r="BY63" s="271"/>
      <c r="BZ63" s="271"/>
      <c r="CA63" s="271"/>
      <c r="CB63" s="271"/>
      <c r="CC63" s="271"/>
      <c r="CD63" s="271"/>
      <c r="CE63" s="272"/>
      <c r="CF63" s="270" t="s">
        <v>145</v>
      </c>
      <c r="CG63" s="271"/>
      <c r="CH63" s="271"/>
      <c r="CI63" s="271"/>
      <c r="CJ63" s="271"/>
      <c r="CK63" s="271"/>
      <c r="CL63" s="271"/>
      <c r="CM63" s="271"/>
      <c r="CN63" s="271"/>
      <c r="CO63" s="271"/>
      <c r="CP63" s="271"/>
      <c r="CQ63" s="271"/>
      <c r="CR63" s="272"/>
      <c r="CS63" s="69"/>
      <c r="CT63" s="41">
        <f t="shared" si="14"/>
        <v>0</v>
      </c>
      <c r="CU63" s="41">
        <f t="shared" si="11"/>
        <v>0</v>
      </c>
      <c r="CV63" s="41">
        <f t="shared" si="12"/>
        <v>0</v>
      </c>
      <c r="CW63" s="75"/>
      <c r="CX63" s="35"/>
      <c r="CY63" s="33"/>
      <c r="CZ63" s="33"/>
      <c r="DA63" s="76"/>
      <c r="DB63" s="37"/>
      <c r="DC63" s="33"/>
      <c r="DD63" s="33"/>
      <c r="DE63" s="75"/>
      <c r="DF63" s="35"/>
      <c r="DG63" s="33"/>
      <c r="DH63" s="33"/>
      <c r="DI63" s="76"/>
      <c r="DJ63" s="37"/>
      <c r="DK63" s="33"/>
      <c r="DL63" s="33"/>
      <c r="DM63" s="77"/>
    </row>
    <row r="64" spans="1:117" ht="11.25" customHeight="1">
      <c r="A64" s="310" t="s">
        <v>146</v>
      </c>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311"/>
      <c r="BS64" s="311"/>
      <c r="BT64" s="311"/>
      <c r="BU64" s="311"/>
      <c r="BV64" s="311"/>
      <c r="BW64" s="312"/>
      <c r="BX64" s="255" t="s">
        <v>144</v>
      </c>
      <c r="BY64" s="256"/>
      <c r="BZ64" s="256"/>
      <c r="CA64" s="256"/>
      <c r="CB64" s="256"/>
      <c r="CC64" s="256"/>
      <c r="CD64" s="256"/>
      <c r="CE64" s="257"/>
      <c r="CF64" s="258" t="s">
        <v>148</v>
      </c>
      <c r="CG64" s="256"/>
      <c r="CH64" s="256"/>
      <c r="CI64" s="256"/>
      <c r="CJ64" s="256"/>
      <c r="CK64" s="256"/>
      <c r="CL64" s="256"/>
      <c r="CM64" s="256"/>
      <c r="CN64" s="256"/>
      <c r="CO64" s="256"/>
      <c r="CP64" s="256"/>
      <c r="CQ64" s="256"/>
      <c r="CR64" s="257"/>
      <c r="CS64" s="44"/>
      <c r="CT64" s="41">
        <f t="shared" si="14"/>
        <v>3046705.83</v>
      </c>
      <c r="CU64" s="41">
        <f t="shared" si="11"/>
        <v>2082025.84</v>
      </c>
      <c r="CV64" s="41">
        <f t="shared" si="12"/>
        <v>2082025.84</v>
      </c>
      <c r="CW64" s="72"/>
      <c r="CX64" s="40">
        <f>495152+95000+20443+5115-327160+15000+7134+195537+9948+159589+40000+1010+2000+6056+66000+900+8816+20000-50000+41728</f>
        <v>812268</v>
      </c>
      <c r="CY64" s="41">
        <v>482192</v>
      </c>
      <c r="CZ64" s="41">
        <v>482192</v>
      </c>
      <c r="DA64" s="130"/>
      <c r="DB64" s="43">
        <f>391820-1581+368687+1900-35342+57211-100749+50081.04-50081.04+16500+441600+146140+1210</f>
        <v>1287396</v>
      </c>
      <c r="DC64" s="43">
        <f>391820+412377</f>
        <v>804197</v>
      </c>
      <c r="DD64" s="43">
        <f>391820+412377</f>
        <v>804197</v>
      </c>
      <c r="DE64" s="72"/>
      <c r="DF64" s="40"/>
      <c r="DG64" s="41"/>
      <c r="DH64" s="41"/>
      <c r="DI64" s="73"/>
      <c r="DJ64" s="43">
        <f>378012.6+19895.4+14043.84+28725+354960+143404.99+8000</f>
        <v>947041.8300000001</v>
      </c>
      <c r="DK64" s="43">
        <f>378012.6+19895.4+14043.84+28725+354960</f>
        <v>795636.8400000001</v>
      </c>
      <c r="DL64" s="43">
        <f>378012.6+19895.4+14043.84+28725+354960</f>
        <v>795636.8400000001</v>
      </c>
      <c r="DM64" s="74"/>
    </row>
    <row r="65" spans="1:117" ht="11.25" customHeight="1">
      <c r="A65" s="310" t="s">
        <v>483</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1"/>
      <c r="BR65" s="311"/>
      <c r="BS65" s="311"/>
      <c r="BT65" s="311"/>
      <c r="BU65" s="311"/>
      <c r="BV65" s="311"/>
      <c r="BW65" s="312"/>
      <c r="BX65" s="255" t="s">
        <v>147</v>
      </c>
      <c r="BY65" s="256"/>
      <c r="BZ65" s="256"/>
      <c r="CA65" s="256"/>
      <c r="CB65" s="256"/>
      <c r="CC65" s="256"/>
      <c r="CD65" s="256"/>
      <c r="CE65" s="257"/>
      <c r="CF65" s="258" t="s">
        <v>482</v>
      </c>
      <c r="CG65" s="256"/>
      <c r="CH65" s="256"/>
      <c r="CI65" s="256"/>
      <c r="CJ65" s="256"/>
      <c r="CK65" s="256"/>
      <c r="CL65" s="256"/>
      <c r="CM65" s="256"/>
      <c r="CN65" s="256"/>
      <c r="CO65" s="256"/>
      <c r="CP65" s="256"/>
      <c r="CQ65" s="256"/>
      <c r="CR65" s="257"/>
      <c r="CS65" s="44"/>
      <c r="CT65" s="41">
        <f t="shared" si="14"/>
        <v>0</v>
      </c>
      <c r="CU65" s="41">
        <f t="shared" si="11"/>
        <v>0</v>
      </c>
      <c r="CV65" s="41">
        <f t="shared" si="12"/>
        <v>0</v>
      </c>
      <c r="CW65" s="72"/>
      <c r="CX65" s="40"/>
      <c r="CY65" s="41"/>
      <c r="CZ65" s="41"/>
      <c r="DA65" s="73"/>
      <c r="DB65" s="43"/>
      <c r="DC65" s="41"/>
      <c r="DD65" s="41"/>
      <c r="DE65" s="72"/>
      <c r="DF65" s="40"/>
      <c r="DG65" s="41"/>
      <c r="DH65" s="41"/>
      <c r="DI65" s="73"/>
      <c r="DJ65" s="43"/>
      <c r="DK65" s="41"/>
      <c r="DL65" s="41"/>
      <c r="DM65" s="74"/>
    </row>
    <row r="66" spans="1:117" s="136" customFormat="1" ht="11.25" customHeight="1">
      <c r="A66" s="132"/>
      <c r="B66" s="332" t="s">
        <v>477</v>
      </c>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2"/>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c r="BW66" s="333"/>
      <c r="BX66" s="230" t="s">
        <v>149</v>
      </c>
      <c r="BY66" s="220"/>
      <c r="BZ66" s="220"/>
      <c r="CA66" s="220"/>
      <c r="CB66" s="220"/>
      <c r="CC66" s="220"/>
      <c r="CD66" s="220"/>
      <c r="CE66" s="221"/>
      <c r="CF66" s="219" t="s">
        <v>478</v>
      </c>
      <c r="CG66" s="220"/>
      <c r="CH66" s="220"/>
      <c r="CI66" s="220"/>
      <c r="CJ66" s="220"/>
      <c r="CK66" s="220"/>
      <c r="CL66" s="220"/>
      <c r="CM66" s="220"/>
      <c r="CN66" s="220"/>
      <c r="CO66" s="220"/>
      <c r="CP66" s="220"/>
      <c r="CQ66" s="220"/>
      <c r="CR66" s="221"/>
      <c r="CS66" s="95"/>
      <c r="CT66" s="123">
        <f>CX66+DB66+DF66+DJ66</f>
        <v>1413934.76</v>
      </c>
      <c r="CU66" s="123">
        <f>CY66+DC66+DG66+DK66</f>
        <v>1191082</v>
      </c>
      <c r="CV66" s="123">
        <f>CZ66+DD66+DH66+DL66</f>
        <v>1191082</v>
      </c>
      <c r="CW66" s="133"/>
      <c r="CX66" s="125">
        <f>1191082+34425.76-95000+45000-15000+127427+126000</f>
        <v>1413934.76</v>
      </c>
      <c r="CY66" s="125">
        <v>1191082</v>
      </c>
      <c r="CZ66" s="125">
        <v>1191082</v>
      </c>
      <c r="DA66" s="133">
        <v>483660.7</v>
      </c>
      <c r="DB66" s="134"/>
      <c r="DC66" s="123"/>
      <c r="DD66" s="123"/>
      <c r="DE66" s="133"/>
      <c r="DF66" s="125"/>
      <c r="DG66" s="123"/>
      <c r="DH66" s="123"/>
      <c r="DI66" s="135"/>
      <c r="DJ66" s="134"/>
      <c r="DK66" s="123"/>
      <c r="DL66" s="123"/>
      <c r="DM66" s="135"/>
    </row>
    <row r="67" spans="1:117" ht="12.75" customHeight="1">
      <c r="A67" s="299" t="s">
        <v>150</v>
      </c>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0"/>
      <c r="BW67" s="301"/>
      <c r="BX67" s="262" t="s">
        <v>151</v>
      </c>
      <c r="BY67" s="263"/>
      <c r="BZ67" s="263"/>
      <c r="CA67" s="263"/>
      <c r="CB67" s="263"/>
      <c r="CC67" s="263"/>
      <c r="CD67" s="263"/>
      <c r="CE67" s="264"/>
      <c r="CF67" s="265" t="s">
        <v>152</v>
      </c>
      <c r="CG67" s="263"/>
      <c r="CH67" s="263"/>
      <c r="CI67" s="263"/>
      <c r="CJ67" s="263"/>
      <c r="CK67" s="263"/>
      <c r="CL67" s="263"/>
      <c r="CM67" s="263"/>
      <c r="CN67" s="263"/>
      <c r="CO67" s="263"/>
      <c r="CP67" s="263"/>
      <c r="CQ67" s="263"/>
      <c r="CR67" s="264"/>
      <c r="CS67" s="44"/>
      <c r="CT67" s="41">
        <f t="shared" si="14"/>
        <v>0</v>
      </c>
      <c r="CU67" s="41">
        <f t="shared" si="11"/>
        <v>0</v>
      </c>
      <c r="CV67" s="41">
        <f t="shared" si="12"/>
        <v>0</v>
      </c>
      <c r="CW67" s="57" t="s">
        <v>34</v>
      </c>
      <c r="CX67" s="40"/>
      <c r="CY67" s="41"/>
      <c r="CZ67" s="41"/>
      <c r="DA67" s="58" t="s">
        <v>34</v>
      </c>
      <c r="DB67" s="43"/>
      <c r="DC67" s="41"/>
      <c r="DD67" s="41"/>
      <c r="DE67" s="57" t="s">
        <v>34</v>
      </c>
      <c r="DF67" s="40"/>
      <c r="DG67" s="41"/>
      <c r="DH67" s="41"/>
      <c r="DI67" s="58" t="s">
        <v>34</v>
      </c>
      <c r="DJ67" s="43"/>
      <c r="DK67" s="41"/>
      <c r="DL67" s="41"/>
      <c r="DM67" s="58" t="s">
        <v>34</v>
      </c>
    </row>
    <row r="68" spans="1:117" ht="22.5" customHeight="1">
      <c r="A68" s="313" t="s">
        <v>153</v>
      </c>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14"/>
      <c r="BG68" s="314"/>
      <c r="BH68" s="314"/>
      <c r="BI68" s="314"/>
      <c r="BJ68" s="314"/>
      <c r="BK68" s="314"/>
      <c r="BL68" s="314"/>
      <c r="BM68" s="314"/>
      <c r="BN68" s="314"/>
      <c r="BO68" s="314"/>
      <c r="BP68" s="314"/>
      <c r="BQ68" s="314"/>
      <c r="BR68" s="314"/>
      <c r="BS68" s="314"/>
      <c r="BT68" s="314"/>
      <c r="BU68" s="314"/>
      <c r="BV68" s="314"/>
      <c r="BW68" s="315"/>
      <c r="BX68" s="255" t="s">
        <v>154</v>
      </c>
      <c r="BY68" s="256"/>
      <c r="BZ68" s="256"/>
      <c r="CA68" s="256"/>
      <c r="CB68" s="256"/>
      <c r="CC68" s="256"/>
      <c r="CD68" s="256"/>
      <c r="CE68" s="257"/>
      <c r="CF68" s="258"/>
      <c r="CG68" s="256"/>
      <c r="CH68" s="256"/>
      <c r="CI68" s="256"/>
      <c r="CJ68" s="256"/>
      <c r="CK68" s="256"/>
      <c r="CL68" s="256"/>
      <c r="CM68" s="256"/>
      <c r="CN68" s="256"/>
      <c r="CO68" s="256"/>
      <c r="CP68" s="256"/>
      <c r="CQ68" s="256"/>
      <c r="CR68" s="257"/>
      <c r="CS68" s="44"/>
      <c r="CT68" s="41">
        <f t="shared" si="14"/>
        <v>0</v>
      </c>
      <c r="CU68" s="41">
        <f t="shared" si="11"/>
        <v>0</v>
      </c>
      <c r="CV68" s="41">
        <f t="shared" si="12"/>
        <v>0</v>
      </c>
      <c r="CW68" s="57" t="s">
        <v>34</v>
      </c>
      <c r="CX68" s="40"/>
      <c r="CY68" s="41"/>
      <c r="CZ68" s="41"/>
      <c r="DA68" s="58" t="s">
        <v>34</v>
      </c>
      <c r="DB68" s="43"/>
      <c r="DC68" s="41"/>
      <c r="DD68" s="41"/>
      <c r="DE68" s="57" t="s">
        <v>34</v>
      </c>
      <c r="DF68" s="40"/>
      <c r="DG68" s="41"/>
      <c r="DH68" s="41"/>
      <c r="DI68" s="58" t="s">
        <v>34</v>
      </c>
      <c r="DJ68" s="43"/>
      <c r="DK68" s="41"/>
      <c r="DL68" s="41"/>
      <c r="DM68" s="58" t="s">
        <v>34</v>
      </c>
    </row>
    <row r="69" spans="1:117" ht="12.75" customHeight="1">
      <c r="A69" s="313" t="s">
        <v>155</v>
      </c>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c r="AY69" s="314"/>
      <c r="AZ69" s="314"/>
      <c r="BA69" s="314"/>
      <c r="BB69" s="314"/>
      <c r="BC69" s="314"/>
      <c r="BD69" s="314"/>
      <c r="BE69" s="314"/>
      <c r="BF69" s="314"/>
      <c r="BG69" s="314"/>
      <c r="BH69" s="314"/>
      <c r="BI69" s="314"/>
      <c r="BJ69" s="314"/>
      <c r="BK69" s="314"/>
      <c r="BL69" s="314"/>
      <c r="BM69" s="314"/>
      <c r="BN69" s="314"/>
      <c r="BO69" s="314"/>
      <c r="BP69" s="314"/>
      <c r="BQ69" s="314"/>
      <c r="BR69" s="314"/>
      <c r="BS69" s="314"/>
      <c r="BT69" s="314"/>
      <c r="BU69" s="314"/>
      <c r="BV69" s="314"/>
      <c r="BW69" s="315"/>
      <c r="BX69" s="255" t="s">
        <v>156</v>
      </c>
      <c r="BY69" s="256"/>
      <c r="BZ69" s="256"/>
      <c r="CA69" s="256"/>
      <c r="CB69" s="256"/>
      <c r="CC69" s="256"/>
      <c r="CD69" s="256"/>
      <c r="CE69" s="257"/>
      <c r="CF69" s="258"/>
      <c r="CG69" s="256"/>
      <c r="CH69" s="256"/>
      <c r="CI69" s="256"/>
      <c r="CJ69" s="256"/>
      <c r="CK69" s="256"/>
      <c r="CL69" s="256"/>
      <c r="CM69" s="256"/>
      <c r="CN69" s="256"/>
      <c r="CO69" s="256"/>
      <c r="CP69" s="256"/>
      <c r="CQ69" s="256"/>
      <c r="CR69" s="257"/>
      <c r="CS69" s="44"/>
      <c r="CT69" s="41">
        <f t="shared" si="14"/>
        <v>0</v>
      </c>
      <c r="CU69" s="41">
        <f t="shared" si="11"/>
        <v>0</v>
      </c>
      <c r="CV69" s="41">
        <f t="shared" si="12"/>
        <v>0</v>
      </c>
      <c r="CW69" s="57" t="s">
        <v>34</v>
      </c>
      <c r="CX69" s="40"/>
      <c r="CY69" s="41"/>
      <c r="CZ69" s="41"/>
      <c r="DA69" s="58" t="s">
        <v>34</v>
      </c>
      <c r="DB69" s="43"/>
      <c r="DC69" s="41"/>
      <c r="DD69" s="41"/>
      <c r="DE69" s="57" t="s">
        <v>34</v>
      </c>
      <c r="DF69" s="40"/>
      <c r="DG69" s="41"/>
      <c r="DH69" s="41"/>
      <c r="DI69" s="58" t="s">
        <v>34</v>
      </c>
      <c r="DJ69" s="43"/>
      <c r="DK69" s="41"/>
      <c r="DL69" s="41"/>
      <c r="DM69" s="58" t="s">
        <v>34</v>
      </c>
    </row>
    <row r="70" spans="1:117" ht="12.75" customHeight="1">
      <c r="A70" s="313" t="s">
        <v>158</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4"/>
      <c r="BH70" s="314"/>
      <c r="BI70" s="314"/>
      <c r="BJ70" s="314"/>
      <c r="BK70" s="314"/>
      <c r="BL70" s="314"/>
      <c r="BM70" s="314"/>
      <c r="BN70" s="314"/>
      <c r="BO70" s="314"/>
      <c r="BP70" s="314"/>
      <c r="BQ70" s="314"/>
      <c r="BR70" s="314"/>
      <c r="BS70" s="314"/>
      <c r="BT70" s="314"/>
      <c r="BU70" s="314"/>
      <c r="BV70" s="314"/>
      <c r="BW70" s="315"/>
      <c r="BX70" s="255" t="s">
        <v>157</v>
      </c>
      <c r="BY70" s="256"/>
      <c r="BZ70" s="256"/>
      <c r="CA70" s="256"/>
      <c r="CB70" s="256"/>
      <c r="CC70" s="256"/>
      <c r="CD70" s="256"/>
      <c r="CE70" s="257"/>
      <c r="CF70" s="258"/>
      <c r="CG70" s="256"/>
      <c r="CH70" s="256"/>
      <c r="CI70" s="256"/>
      <c r="CJ70" s="256"/>
      <c r="CK70" s="256"/>
      <c r="CL70" s="256"/>
      <c r="CM70" s="256"/>
      <c r="CN70" s="256"/>
      <c r="CO70" s="256"/>
      <c r="CP70" s="256"/>
      <c r="CQ70" s="256"/>
      <c r="CR70" s="257"/>
      <c r="CS70" s="44"/>
      <c r="CT70" s="41">
        <f t="shared" si="14"/>
        <v>0</v>
      </c>
      <c r="CU70" s="41">
        <f t="shared" si="11"/>
        <v>0</v>
      </c>
      <c r="CV70" s="41">
        <f t="shared" si="12"/>
        <v>0</v>
      </c>
      <c r="CW70" s="57" t="s">
        <v>34</v>
      </c>
      <c r="CX70" s="40"/>
      <c r="CY70" s="41"/>
      <c r="CZ70" s="41"/>
      <c r="DA70" s="58" t="s">
        <v>34</v>
      </c>
      <c r="DB70" s="43"/>
      <c r="DC70" s="41"/>
      <c r="DD70" s="41"/>
      <c r="DE70" s="57" t="s">
        <v>34</v>
      </c>
      <c r="DF70" s="40"/>
      <c r="DG70" s="41"/>
      <c r="DH70" s="41"/>
      <c r="DI70" s="58" t="s">
        <v>34</v>
      </c>
      <c r="DJ70" s="43"/>
      <c r="DK70" s="41"/>
      <c r="DL70" s="41"/>
      <c r="DM70" s="58" t="s">
        <v>34</v>
      </c>
    </row>
    <row r="71" spans="1:117" ht="12.75" customHeight="1">
      <c r="A71" s="299" t="s">
        <v>159</v>
      </c>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c r="BP71" s="300"/>
      <c r="BQ71" s="300"/>
      <c r="BR71" s="300"/>
      <c r="BS71" s="300"/>
      <c r="BT71" s="300"/>
      <c r="BU71" s="300"/>
      <c r="BV71" s="300"/>
      <c r="BW71" s="301"/>
      <c r="BX71" s="262" t="s">
        <v>160</v>
      </c>
      <c r="BY71" s="263"/>
      <c r="BZ71" s="263"/>
      <c r="CA71" s="263"/>
      <c r="CB71" s="263"/>
      <c r="CC71" s="263"/>
      <c r="CD71" s="263"/>
      <c r="CE71" s="264"/>
      <c r="CF71" s="265" t="s">
        <v>34</v>
      </c>
      <c r="CG71" s="263"/>
      <c r="CH71" s="263"/>
      <c r="CI71" s="263"/>
      <c r="CJ71" s="263"/>
      <c r="CK71" s="263"/>
      <c r="CL71" s="263"/>
      <c r="CM71" s="263"/>
      <c r="CN71" s="263"/>
      <c r="CO71" s="263"/>
      <c r="CP71" s="263"/>
      <c r="CQ71" s="263"/>
      <c r="CR71" s="264"/>
      <c r="CS71" s="44"/>
      <c r="CT71" s="41">
        <f t="shared" si="14"/>
        <v>0</v>
      </c>
      <c r="CU71" s="41">
        <f t="shared" si="11"/>
        <v>0</v>
      </c>
      <c r="CV71" s="41">
        <f t="shared" si="12"/>
        <v>0</v>
      </c>
      <c r="CW71" s="57" t="s">
        <v>34</v>
      </c>
      <c r="CX71" s="40"/>
      <c r="CY71" s="41"/>
      <c r="CZ71" s="41"/>
      <c r="DA71" s="58" t="s">
        <v>34</v>
      </c>
      <c r="DB71" s="43"/>
      <c r="DC71" s="41"/>
      <c r="DD71" s="41"/>
      <c r="DE71" s="57" t="s">
        <v>34</v>
      </c>
      <c r="DF71" s="40"/>
      <c r="DG71" s="41"/>
      <c r="DH71" s="41"/>
      <c r="DI71" s="58" t="s">
        <v>34</v>
      </c>
      <c r="DJ71" s="43"/>
      <c r="DK71" s="41"/>
      <c r="DL71" s="41"/>
      <c r="DM71" s="58" t="s">
        <v>34</v>
      </c>
    </row>
    <row r="72" spans="1:117" ht="22.5" customHeight="1" thickBot="1">
      <c r="A72" s="313" t="s">
        <v>161</v>
      </c>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c r="AY72" s="314"/>
      <c r="AZ72" s="314"/>
      <c r="BA72" s="314"/>
      <c r="BB72" s="314"/>
      <c r="BC72" s="314"/>
      <c r="BD72" s="314"/>
      <c r="BE72" s="314"/>
      <c r="BF72" s="314"/>
      <c r="BG72" s="314"/>
      <c r="BH72" s="314"/>
      <c r="BI72" s="314"/>
      <c r="BJ72" s="314"/>
      <c r="BK72" s="314"/>
      <c r="BL72" s="314"/>
      <c r="BM72" s="314"/>
      <c r="BN72" s="314"/>
      <c r="BO72" s="314"/>
      <c r="BP72" s="314"/>
      <c r="BQ72" s="314"/>
      <c r="BR72" s="314"/>
      <c r="BS72" s="314"/>
      <c r="BT72" s="314"/>
      <c r="BU72" s="314"/>
      <c r="BV72" s="314"/>
      <c r="BW72" s="315"/>
      <c r="BX72" s="255" t="s">
        <v>162</v>
      </c>
      <c r="BY72" s="256"/>
      <c r="BZ72" s="256"/>
      <c r="CA72" s="256"/>
      <c r="CB72" s="256"/>
      <c r="CC72" s="256"/>
      <c r="CD72" s="256"/>
      <c r="CE72" s="257"/>
      <c r="CF72" s="258" t="s">
        <v>163</v>
      </c>
      <c r="CG72" s="256"/>
      <c r="CH72" s="256"/>
      <c r="CI72" s="256"/>
      <c r="CJ72" s="256"/>
      <c r="CK72" s="256"/>
      <c r="CL72" s="256"/>
      <c r="CM72" s="256"/>
      <c r="CN72" s="256"/>
      <c r="CO72" s="256"/>
      <c r="CP72" s="256"/>
      <c r="CQ72" s="256"/>
      <c r="CR72" s="257"/>
      <c r="CS72" s="44"/>
      <c r="CT72" s="41">
        <f t="shared" si="14"/>
        <v>0</v>
      </c>
      <c r="CU72" s="41">
        <f t="shared" si="11"/>
        <v>0</v>
      </c>
      <c r="CV72" s="41">
        <f t="shared" si="12"/>
        <v>0</v>
      </c>
      <c r="CW72" s="57" t="s">
        <v>34</v>
      </c>
      <c r="CX72" s="65"/>
      <c r="CY72" s="66"/>
      <c r="CZ72" s="66"/>
      <c r="DA72" s="67" t="s">
        <v>34</v>
      </c>
      <c r="DB72" s="43"/>
      <c r="DC72" s="41"/>
      <c r="DD72" s="41"/>
      <c r="DE72" s="57" t="s">
        <v>34</v>
      </c>
      <c r="DF72" s="65"/>
      <c r="DG72" s="66"/>
      <c r="DH72" s="66"/>
      <c r="DI72" s="67" t="s">
        <v>34</v>
      </c>
      <c r="DJ72" s="43"/>
      <c r="DK72" s="41"/>
      <c r="DL72" s="41"/>
      <c r="DM72" s="58" t="s">
        <v>34</v>
      </c>
    </row>
    <row r="73" s="79" customFormat="1" ht="11.25" customHeight="1">
      <c r="A73" s="78" t="s">
        <v>244</v>
      </c>
    </row>
    <row r="74" s="79" customFormat="1" ht="11.25" customHeight="1">
      <c r="A74" s="78" t="s">
        <v>245</v>
      </c>
    </row>
    <row r="75" s="79" customFormat="1" ht="11.25" customHeight="1">
      <c r="A75" s="78" t="s">
        <v>246</v>
      </c>
    </row>
    <row r="76" s="79" customFormat="1" ht="10.5" customHeight="1">
      <c r="A76" s="78" t="s">
        <v>247</v>
      </c>
    </row>
    <row r="77" s="79" customFormat="1" ht="10.5" customHeight="1">
      <c r="A77" s="78" t="s">
        <v>248</v>
      </c>
    </row>
    <row r="78" s="79" customFormat="1" ht="10.5" customHeight="1">
      <c r="A78" s="78" t="s">
        <v>249</v>
      </c>
    </row>
    <row r="79" spans="1:161" s="79" customFormat="1" ht="10.5">
      <c r="A79" s="334" t="s">
        <v>250</v>
      </c>
      <c r="B79" s="334"/>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c r="BF79" s="334"/>
      <c r="BG79" s="334"/>
      <c r="BH79" s="334"/>
      <c r="BI79" s="334"/>
      <c r="BJ79" s="334"/>
      <c r="BK79" s="334"/>
      <c r="BL79" s="334"/>
      <c r="BM79" s="334"/>
      <c r="BN79" s="334"/>
      <c r="BO79" s="334"/>
      <c r="BP79" s="334"/>
      <c r="BQ79" s="334"/>
      <c r="BR79" s="334"/>
      <c r="BS79" s="334"/>
      <c r="BT79" s="334"/>
      <c r="BU79" s="334"/>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c r="EI79" s="334"/>
      <c r="EJ79" s="334"/>
      <c r="EK79" s="334"/>
      <c r="EL79" s="334"/>
      <c r="EM79" s="334"/>
      <c r="EN79" s="334"/>
      <c r="EO79" s="334"/>
      <c r="EP79" s="334"/>
      <c r="EQ79" s="334"/>
      <c r="ER79" s="334"/>
      <c r="ES79" s="334"/>
      <c r="ET79" s="334"/>
      <c r="EU79" s="334"/>
      <c r="EV79" s="334"/>
      <c r="EW79" s="334"/>
      <c r="EX79" s="334"/>
      <c r="EY79" s="334"/>
      <c r="EZ79" s="334"/>
      <c r="FA79" s="334"/>
      <c r="FB79" s="334"/>
      <c r="FC79" s="334"/>
      <c r="FD79" s="334"/>
      <c r="FE79" s="334"/>
    </row>
    <row r="80" s="79" customFormat="1" ht="10.5" customHeight="1">
      <c r="A80" s="78" t="s">
        <v>251</v>
      </c>
    </row>
    <row r="81" spans="1:161" s="79" customFormat="1" ht="10.5">
      <c r="A81" s="334" t="s">
        <v>252</v>
      </c>
      <c r="B81" s="334"/>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c r="CT81" s="334"/>
      <c r="CU81" s="334"/>
      <c r="CV81" s="334"/>
      <c r="CW81" s="334"/>
      <c r="CX81" s="334"/>
      <c r="CY81" s="334"/>
      <c r="CZ81" s="334"/>
      <c r="DA81" s="334"/>
      <c r="DB81" s="334"/>
      <c r="DC81" s="334"/>
      <c r="DD81" s="334"/>
      <c r="DE81" s="334"/>
      <c r="DF81" s="334"/>
      <c r="DG81" s="334"/>
      <c r="DH81" s="334"/>
      <c r="DI81" s="334"/>
      <c r="DJ81" s="334"/>
      <c r="DK81" s="334"/>
      <c r="DL81" s="334"/>
      <c r="DM81" s="334"/>
      <c r="DN81" s="334"/>
      <c r="DO81" s="334"/>
      <c r="DP81" s="334"/>
      <c r="DQ81" s="334"/>
      <c r="DR81" s="334"/>
      <c r="DS81" s="334"/>
      <c r="DT81" s="334"/>
      <c r="DU81" s="334"/>
      <c r="DV81" s="334"/>
      <c r="DW81" s="334"/>
      <c r="DX81" s="334"/>
      <c r="DY81" s="334"/>
      <c r="DZ81" s="334"/>
      <c r="EA81" s="334"/>
      <c r="EB81" s="334"/>
      <c r="EC81" s="334"/>
      <c r="ED81" s="334"/>
      <c r="EE81" s="334"/>
      <c r="EF81" s="334"/>
      <c r="EG81" s="334"/>
      <c r="EH81" s="334"/>
      <c r="EI81" s="334"/>
      <c r="EJ81" s="334"/>
      <c r="EK81" s="334"/>
      <c r="EL81" s="334"/>
      <c r="EM81" s="334"/>
      <c r="EN81" s="334"/>
      <c r="EO81" s="334"/>
      <c r="EP81" s="334"/>
      <c r="EQ81" s="334"/>
      <c r="ER81" s="334"/>
      <c r="ES81" s="334"/>
      <c r="ET81" s="334"/>
      <c r="EU81" s="334"/>
      <c r="EV81" s="334"/>
      <c r="EW81" s="334"/>
      <c r="EX81" s="334"/>
      <c r="EY81" s="334"/>
      <c r="EZ81" s="334"/>
      <c r="FA81" s="334"/>
      <c r="FB81" s="334"/>
      <c r="FC81" s="334"/>
      <c r="FD81" s="334"/>
      <c r="FE81" s="334"/>
    </row>
    <row r="82" spans="1:161" s="79" customFormat="1" ht="10.5">
      <c r="A82" s="334" t="s">
        <v>261</v>
      </c>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c r="CT82" s="334"/>
      <c r="CU82" s="334"/>
      <c r="CV82" s="334"/>
      <c r="CW82" s="334"/>
      <c r="CX82" s="334"/>
      <c r="CY82" s="334"/>
      <c r="CZ82" s="334"/>
      <c r="DA82" s="334"/>
      <c r="DB82" s="334"/>
      <c r="DC82" s="334"/>
      <c r="DD82" s="334"/>
      <c r="DE82" s="334"/>
      <c r="DF82" s="334"/>
      <c r="DG82" s="334"/>
      <c r="DH82" s="334"/>
      <c r="DI82" s="334"/>
      <c r="DJ82" s="334"/>
      <c r="DK82" s="334"/>
      <c r="DL82" s="334"/>
      <c r="DM82" s="334"/>
      <c r="DN82" s="334"/>
      <c r="DO82" s="334"/>
      <c r="DP82" s="334"/>
      <c r="DQ82" s="334"/>
      <c r="DR82" s="334"/>
      <c r="DS82" s="334"/>
      <c r="DT82" s="334"/>
      <c r="DU82" s="334"/>
      <c r="DV82" s="334"/>
      <c r="DW82" s="334"/>
      <c r="DX82" s="334"/>
      <c r="DY82" s="334"/>
      <c r="DZ82" s="334"/>
      <c r="EA82" s="334"/>
      <c r="EB82" s="334"/>
      <c r="EC82" s="334"/>
      <c r="ED82" s="334"/>
      <c r="EE82" s="334"/>
      <c r="EF82" s="334"/>
      <c r="EG82" s="334"/>
      <c r="EH82" s="334"/>
      <c r="EI82" s="334"/>
      <c r="EJ82" s="334"/>
      <c r="EK82" s="334"/>
      <c r="EL82" s="334"/>
      <c r="EM82" s="334"/>
      <c r="EN82" s="334"/>
      <c r="EO82" s="334"/>
      <c r="EP82" s="334"/>
      <c r="EQ82" s="334"/>
      <c r="ER82" s="334"/>
      <c r="ES82" s="334"/>
      <c r="ET82" s="334"/>
      <c r="EU82" s="334"/>
      <c r="EV82" s="334"/>
      <c r="EW82" s="334"/>
      <c r="EX82" s="334"/>
      <c r="EY82" s="334"/>
      <c r="EZ82" s="334"/>
      <c r="FA82" s="334"/>
      <c r="FB82" s="334"/>
      <c r="FC82" s="334"/>
      <c r="FD82" s="334"/>
      <c r="FE82" s="334"/>
    </row>
    <row r="83" s="79" customFormat="1" ht="11.25" customHeight="1">
      <c r="A83" s="78" t="s">
        <v>253</v>
      </c>
    </row>
    <row r="84" s="79" customFormat="1" ht="11.25" customHeight="1">
      <c r="A84" s="78" t="s">
        <v>254</v>
      </c>
    </row>
    <row r="85" spans="1:161" s="79" customFormat="1" ht="10.5">
      <c r="A85" s="334" t="s">
        <v>262</v>
      </c>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4"/>
      <c r="DZ85" s="334"/>
      <c r="EA85" s="334"/>
      <c r="EB85" s="334"/>
      <c r="EC85" s="334"/>
      <c r="ED85" s="334"/>
      <c r="EE85" s="334"/>
      <c r="EF85" s="334"/>
      <c r="EG85" s="334"/>
      <c r="EH85" s="334"/>
      <c r="EI85" s="334"/>
      <c r="EJ85" s="334"/>
      <c r="EK85" s="334"/>
      <c r="EL85" s="334"/>
      <c r="EM85" s="334"/>
      <c r="EN85" s="334"/>
      <c r="EO85" s="334"/>
      <c r="EP85" s="334"/>
      <c r="EQ85" s="334"/>
      <c r="ER85" s="334"/>
      <c r="ES85" s="334"/>
      <c r="ET85" s="334"/>
      <c r="EU85" s="334"/>
      <c r="EV85" s="334"/>
      <c r="EW85" s="334"/>
      <c r="EX85" s="334"/>
      <c r="EY85" s="334"/>
      <c r="EZ85" s="334"/>
      <c r="FA85" s="334"/>
      <c r="FB85" s="334"/>
      <c r="FC85" s="334"/>
      <c r="FD85" s="334"/>
      <c r="FE85" s="334"/>
    </row>
  </sheetData>
  <sheetProtection/>
  <mergeCells count="229">
    <mergeCell ref="DE6:DE7"/>
    <mergeCell ref="A79:FE79"/>
    <mergeCell ref="A81:FE81"/>
    <mergeCell ref="A82:FE82"/>
    <mergeCell ref="A71:BW71"/>
    <mergeCell ref="BX71:CE71"/>
    <mergeCell ref="CF71:CR71"/>
    <mergeCell ref="A63:BW63"/>
    <mergeCell ref="BX63:CE63"/>
    <mergeCell ref="BX69:CE69"/>
    <mergeCell ref="A70:BW70"/>
    <mergeCell ref="BX70:CE70"/>
    <mergeCell ref="CF70:CR70"/>
    <mergeCell ref="A69:BW69"/>
    <mergeCell ref="CF68:CR68"/>
    <mergeCell ref="A85:FE85"/>
    <mergeCell ref="A72:BW72"/>
    <mergeCell ref="BX72:CE72"/>
    <mergeCell ref="CF72:CR72"/>
    <mergeCell ref="CF69:CR69"/>
    <mergeCell ref="A68:BW68"/>
    <mergeCell ref="BX68:CE68"/>
    <mergeCell ref="CF65:CR65"/>
    <mergeCell ref="B66:BW66"/>
    <mergeCell ref="CF66:CR66"/>
    <mergeCell ref="BX66:CE66"/>
    <mergeCell ref="CF61:CR61"/>
    <mergeCell ref="CF64:CR64"/>
    <mergeCell ref="A64:BW64"/>
    <mergeCell ref="BX64:CE64"/>
    <mergeCell ref="A67:BW67"/>
    <mergeCell ref="A65:BW65"/>
    <mergeCell ref="BX65:CE65"/>
    <mergeCell ref="A60:BW60"/>
    <mergeCell ref="A62:BW62"/>
    <mergeCell ref="BX62:CE62"/>
    <mergeCell ref="A58:BW58"/>
    <mergeCell ref="BX58:CE58"/>
    <mergeCell ref="BX60:CE60"/>
    <mergeCell ref="A59:BW59"/>
    <mergeCell ref="BX59:CE59"/>
    <mergeCell ref="A61:BW61"/>
    <mergeCell ref="BX61:CE61"/>
    <mergeCell ref="DF4:DI4"/>
    <mergeCell ref="DF5:DI5"/>
    <mergeCell ref="DI6:DI7"/>
    <mergeCell ref="CF63:CR63"/>
    <mergeCell ref="CF62:CR62"/>
    <mergeCell ref="CF57:CR57"/>
    <mergeCell ref="CF58:CR58"/>
    <mergeCell ref="CF60:CR60"/>
    <mergeCell ref="CF59:CR59"/>
    <mergeCell ref="CF19:CR19"/>
    <mergeCell ref="DJ4:DM4"/>
    <mergeCell ref="DJ5:DM5"/>
    <mergeCell ref="DM6:DM7"/>
    <mergeCell ref="BX67:CE67"/>
    <mergeCell ref="CF67:CR67"/>
    <mergeCell ref="CX5:DA5"/>
    <mergeCell ref="CX4:DA4"/>
    <mergeCell ref="DA6:DA7"/>
    <mergeCell ref="DB4:DE4"/>
    <mergeCell ref="DB5:DE5"/>
    <mergeCell ref="A52:BW52"/>
    <mergeCell ref="BX52:CE52"/>
    <mergeCell ref="CF52:CR52"/>
    <mergeCell ref="A54:BW54"/>
    <mergeCell ref="BX54:CE54"/>
    <mergeCell ref="CF54:CR54"/>
    <mergeCell ref="A51:BW51"/>
    <mergeCell ref="BX51:CE51"/>
    <mergeCell ref="CF51:CR51"/>
    <mergeCell ref="A50:BW50"/>
    <mergeCell ref="BX50:CE50"/>
    <mergeCell ref="CF50:CR50"/>
    <mergeCell ref="A49:BW49"/>
    <mergeCell ref="BX49:CE49"/>
    <mergeCell ref="CF49:CR49"/>
    <mergeCell ref="A48:BW48"/>
    <mergeCell ref="BX48:CE48"/>
    <mergeCell ref="CF48:CR48"/>
    <mergeCell ref="A47:BW47"/>
    <mergeCell ref="BX47:CE47"/>
    <mergeCell ref="CF47:CR47"/>
    <mergeCell ref="A46:BW46"/>
    <mergeCell ref="BX46:CE46"/>
    <mergeCell ref="CF46:CR46"/>
    <mergeCell ref="A45:BW45"/>
    <mergeCell ref="BX45:CE45"/>
    <mergeCell ref="CF45:CR45"/>
    <mergeCell ref="A44:BW44"/>
    <mergeCell ref="BX44:CE44"/>
    <mergeCell ref="CF44:CR44"/>
    <mergeCell ref="A43:BW43"/>
    <mergeCell ref="BX43:CE43"/>
    <mergeCell ref="CF43:CR43"/>
    <mergeCell ref="A42:BW42"/>
    <mergeCell ref="BX42:CE42"/>
    <mergeCell ref="CF42:CR42"/>
    <mergeCell ref="A41:BW41"/>
    <mergeCell ref="BX41:CE41"/>
    <mergeCell ref="CF41:CR41"/>
    <mergeCell ref="A40:BW40"/>
    <mergeCell ref="BX40:CE40"/>
    <mergeCell ref="CF40:CR40"/>
    <mergeCell ref="A39:BW39"/>
    <mergeCell ref="BX39:CE39"/>
    <mergeCell ref="CF39:CR39"/>
    <mergeCell ref="A38:BW38"/>
    <mergeCell ref="BX38:CE38"/>
    <mergeCell ref="CF38:CR38"/>
    <mergeCell ref="A37:BW37"/>
    <mergeCell ref="BX37:CE37"/>
    <mergeCell ref="CF37:CR37"/>
    <mergeCell ref="A36:BW36"/>
    <mergeCell ref="BX36:CE36"/>
    <mergeCell ref="CF36:CR36"/>
    <mergeCell ref="A35:BW35"/>
    <mergeCell ref="BX35:CE35"/>
    <mergeCell ref="CF35:CR35"/>
    <mergeCell ref="A34:BW34"/>
    <mergeCell ref="BX34:CE34"/>
    <mergeCell ref="CF34:CR34"/>
    <mergeCell ref="A33:BW33"/>
    <mergeCell ref="BX33:CE33"/>
    <mergeCell ref="CF33:CR33"/>
    <mergeCell ref="A32:BW32"/>
    <mergeCell ref="BX32:CE32"/>
    <mergeCell ref="CF32:CR32"/>
    <mergeCell ref="A31:BW31"/>
    <mergeCell ref="BX30:CE30"/>
    <mergeCell ref="CF30:CR30"/>
    <mergeCell ref="BX31:CE31"/>
    <mergeCell ref="CF31:CR31"/>
    <mergeCell ref="A30:BW30"/>
    <mergeCell ref="BX23:CE23"/>
    <mergeCell ref="CF29:CR29"/>
    <mergeCell ref="CF25:CR25"/>
    <mergeCell ref="A27:BW27"/>
    <mergeCell ref="BX27:CE27"/>
    <mergeCell ref="CF27:CR27"/>
    <mergeCell ref="A28:BW28"/>
    <mergeCell ref="CF28:CR28"/>
    <mergeCell ref="A29:BW29"/>
    <mergeCell ref="BX29:CE29"/>
    <mergeCell ref="A26:BW26"/>
    <mergeCell ref="BX26:CE26"/>
    <mergeCell ref="CF26:CR26"/>
    <mergeCell ref="A24:BW24"/>
    <mergeCell ref="BX24:CE24"/>
    <mergeCell ref="CF24:CR24"/>
    <mergeCell ref="A25:BW25"/>
    <mergeCell ref="BX25:CE25"/>
    <mergeCell ref="CF23:CR23"/>
    <mergeCell ref="A14:BW14"/>
    <mergeCell ref="BX14:CE14"/>
    <mergeCell ref="CF14:CR14"/>
    <mergeCell ref="A18:BW18"/>
    <mergeCell ref="A17:BW17"/>
    <mergeCell ref="BX17:CE17"/>
    <mergeCell ref="A16:BW16"/>
    <mergeCell ref="A23:BW23"/>
    <mergeCell ref="BX16:CE16"/>
    <mergeCell ref="BX12:CE12"/>
    <mergeCell ref="CF12:CR12"/>
    <mergeCell ref="A11:BW11"/>
    <mergeCell ref="A2:CW2"/>
    <mergeCell ref="A10:BW10"/>
    <mergeCell ref="BX10:CE10"/>
    <mergeCell ref="CF10:CR10"/>
    <mergeCell ref="A9:BW9"/>
    <mergeCell ref="BX9:CE9"/>
    <mergeCell ref="CT4:CW5"/>
    <mergeCell ref="A12:BW12"/>
    <mergeCell ref="CF9:CR9"/>
    <mergeCell ref="CW6:CW7"/>
    <mergeCell ref="A8:BW8"/>
    <mergeCell ref="BX8:CE8"/>
    <mergeCell ref="CF8:CR8"/>
    <mergeCell ref="A4:BW7"/>
    <mergeCell ref="BX4:CE7"/>
    <mergeCell ref="CF4:CR7"/>
    <mergeCell ref="CS4:CS7"/>
    <mergeCell ref="BX19:CE19"/>
    <mergeCell ref="BX11:CE11"/>
    <mergeCell ref="CF11:CR11"/>
    <mergeCell ref="BX28:CE28"/>
    <mergeCell ref="A13:BW13"/>
    <mergeCell ref="BX13:CE13"/>
    <mergeCell ref="CF13:CR13"/>
    <mergeCell ref="A15:BW15"/>
    <mergeCell ref="BX15:CE15"/>
    <mergeCell ref="CF15:CR15"/>
    <mergeCell ref="DC20:DC21"/>
    <mergeCell ref="DD20:DD21"/>
    <mergeCell ref="CF16:CR16"/>
    <mergeCell ref="A20:BW20"/>
    <mergeCell ref="BX20:CE21"/>
    <mergeCell ref="CF20:CR21"/>
    <mergeCell ref="BX18:CE18"/>
    <mergeCell ref="CF18:CR18"/>
    <mergeCell ref="A19:BW19"/>
    <mergeCell ref="CF17:CR17"/>
    <mergeCell ref="CS20:CS21"/>
    <mergeCell ref="CT20:CT21"/>
    <mergeCell ref="CU20:CU21"/>
    <mergeCell ref="CV20:CV21"/>
    <mergeCell ref="CW20:CW21"/>
    <mergeCell ref="DB20:DB21"/>
    <mergeCell ref="A57:BW57"/>
    <mergeCell ref="BX57:CE57"/>
    <mergeCell ref="A53:BW53"/>
    <mergeCell ref="BX53:CE53"/>
    <mergeCell ref="CF53:CR53"/>
    <mergeCell ref="BX55:CE55"/>
    <mergeCell ref="CF55:CR55"/>
    <mergeCell ref="A56:BW56"/>
    <mergeCell ref="A55:BW55"/>
    <mergeCell ref="BX56:CE56"/>
    <mergeCell ref="CF56:CR56"/>
    <mergeCell ref="DI20:DI21"/>
    <mergeCell ref="A21:BW21"/>
    <mergeCell ref="A22:BW22"/>
    <mergeCell ref="BX22:CE22"/>
    <mergeCell ref="CF22:CR22"/>
    <mergeCell ref="DE20:DE21"/>
    <mergeCell ref="DF20:DF21"/>
    <mergeCell ref="DG20:DG21"/>
    <mergeCell ref="DH20:DH21"/>
  </mergeCells>
  <printOptions/>
  <pageMargins left="0.5905511811023623" right="0.1968503937007874" top="0.5905511811023623" bottom="0.11811023622047245" header="0.1968503937007874" footer="0.1968503937007874"/>
  <pageSetup cellComments="asDisplayed" fitToHeight="1" fitToWidth="1" horizontalDpi="600" verticalDpi="600" orientation="landscape" paperSize="9" scale="39" r:id="rId1"/>
  <rowBreaks count="1" manualBreakCount="1">
    <brk id="38" max="116" man="1"/>
  </rowBreaks>
</worksheet>
</file>

<file path=xl/worksheets/sheet3.xml><?xml version="1.0" encoding="utf-8"?>
<worksheet xmlns="http://schemas.openxmlformats.org/spreadsheetml/2006/main" xmlns:r="http://schemas.openxmlformats.org/officeDocument/2006/relationships">
  <dimension ref="A1:FO87"/>
  <sheetViews>
    <sheetView view="pageBreakPreview" zoomScaleSheetLayoutView="100" zoomScalePageLayoutView="0" workbookViewId="0" topLeftCell="A16">
      <selection activeCell="DP20" sqref="DP20:EB34"/>
    </sheetView>
  </sheetViews>
  <sheetFormatPr defaultColWidth="0.875" defaultRowHeight="12.75"/>
  <cols>
    <col min="1" max="106" width="0.875" style="23" customWidth="1"/>
    <col min="107" max="107" width="0.12890625" style="23" customWidth="1"/>
    <col min="108" max="109" width="0.875" style="23" hidden="1" customWidth="1"/>
    <col min="110" max="118" width="0.875" style="23" customWidth="1"/>
    <col min="119" max="119" width="8.25390625" style="23" customWidth="1"/>
    <col min="120" max="168" width="0.875" style="23" customWidth="1"/>
    <col min="169" max="170" width="0.875" style="23" hidden="1" customWidth="1"/>
    <col min="171" max="16384" width="0.875" style="23" customWidth="1"/>
  </cols>
  <sheetData>
    <row r="1" spans="2:170" s="25" customFormat="1" ht="13.5" customHeight="1">
      <c r="B1" s="302" t="s">
        <v>170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row>
    <row r="3" spans="1:171" ht="11.25" customHeight="1">
      <c r="A3" s="290" t="s">
        <v>164</v>
      </c>
      <c r="B3" s="291"/>
      <c r="C3" s="291"/>
      <c r="D3" s="291"/>
      <c r="E3" s="291"/>
      <c r="F3" s="291"/>
      <c r="G3" s="291"/>
      <c r="H3" s="292"/>
      <c r="I3" s="282" t="s">
        <v>0</v>
      </c>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3"/>
      <c r="CN3" s="290" t="s">
        <v>165</v>
      </c>
      <c r="CO3" s="291"/>
      <c r="CP3" s="291"/>
      <c r="CQ3" s="291"/>
      <c r="CR3" s="291"/>
      <c r="CS3" s="291"/>
      <c r="CT3" s="291"/>
      <c r="CU3" s="292"/>
      <c r="CV3" s="290" t="s">
        <v>166</v>
      </c>
      <c r="CW3" s="291"/>
      <c r="CX3" s="291"/>
      <c r="CY3" s="291"/>
      <c r="CZ3" s="291"/>
      <c r="DA3" s="291"/>
      <c r="DB3" s="291"/>
      <c r="DC3" s="291"/>
      <c r="DD3" s="291"/>
      <c r="DE3" s="292"/>
      <c r="DF3" s="290" t="s">
        <v>433</v>
      </c>
      <c r="DG3" s="291"/>
      <c r="DH3" s="291"/>
      <c r="DI3" s="291"/>
      <c r="DJ3" s="291"/>
      <c r="DK3" s="291"/>
      <c r="DL3" s="291"/>
      <c r="DM3" s="291"/>
      <c r="DN3" s="291"/>
      <c r="DO3" s="292"/>
      <c r="DP3" s="326" t="s">
        <v>8</v>
      </c>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327"/>
      <c r="FM3" s="327"/>
      <c r="FN3" s="327"/>
      <c r="FO3" s="328"/>
    </row>
    <row r="4" spans="1:171" ht="11.25" customHeight="1">
      <c r="A4" s="293"/>
      <c r="B4" s="294"/>
      <c r="C4" s="294"/>
      <c r="D4" s="294"/>
      <c r="E4" s="294"/>
      <c r="F4" s="294"/>
      <c r="G4" s="294"/>
      <c r="H4" s="29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6"/>
      <c r="CN4" s="293"/>
      <c r="CO4" s="294"/>
      <c r="CP4" s="294"/>
      <c r="CQ4" s="294"/>
      <c r="CR4" s="294"/>
      <c r="CS4" s="294"/>
      <c r="CT4" s="294"/>
      <c r="CU4" s="295"/>
      <c r="CV4" s="293"/>
      <c r="CW4" s="294"/>
      <c r="CX4" s="294"/>
      <c r="CY4" s="294"/>
      <c r="CZ4" s="294"/>
      <c r="DA4" s="294"/>
      <c r="DB4" s="294"/>
      <c r="DC4" s="294"/>
      <c r="DD4" s="294"/>
      <c r="DE4" s="295"/>
      <c r="DF4" s="293"/>
      <c r="DG4" s="294"/>
      <c r="DH4" s="294"/>
      <c r="DI4" s="294"/>
      <c r="DJ4" s="294"/>
      <c r="DK4" s="294"/>
      <c r="DL4" s="294"/>
      <c r="DM4" s="294"/>
      <c r="DN4" s="294"/>
      <c r="DO4" s="295"/>
      <c r="DP4" s="364" t="s">
        <v>410</v>
      </c>
      <c r="DQ4" s="365"/>
      <c r="DR4" s="365"/>
      <c r="DS4" s="365"/>
      <c r="DT4" s="365"/>
      <c r="DU4" s="365"/>
      <c r="DV4" s="354" t="s">
        <v>411</v>
      </c>
      <c r="DW4" s="355"/>
      <c r="DX4" s="355"/>
      <c r="DY4" s="366" t="s">
        <v>3</v>
      </c>
      <c r="DZ4" s="366"/>
      <c r="EA4" s="366"/>
      <c r="EB4" s="367"/>
      <c r="EC4" s="364" t="s">
        <v>410</v>
      </c>
      <c r="ED4" s="365"/>
      <c r="EE4" s="365"/>
      <c r="EF4" s="365"/>
      <c r="EG4" s="365"/>
      <c r="EH4" s="365"/>
      <c r="EI4" s="354" t="s">
        <v>412</v>
      </c>
      <c r="EJ4" s="355"/>
      <c r="EK4" s="355"/>
      <c r="EL4" s="366" t="s">
        <v>3</v>
      </c>
      <c r="EM4" s="366"/>
      <c r="EN4" s="366"/>
      <c r="EO4" s="367"/>
      <c r="EP4" s="364" t="s">
        <v>410</v>
      </c>
      <c r="EQ4" s="365"/>
      <c r="ER4" s="365"/>
      <c r="ES4" s="365"/>
      <c r="ET4" s="365"/>
      <c r="EU4" s="365"/>
      <c r="EV4" s="354" t="s">
        <v>476</v>
      </c>
      <c r="EW4" s="355"/>
      <c r="EX4" s="355"/>
      <c r="EY4" s="366" t="s">
        <v>3</v>
      </c>
      <c r="EZ4" s="366"/>
      <c r="FA4" s="366"/>
      <c r="FB4" s="367"/>
      <c r="FC4" s="290" t="s">
        <v>7</v>
      </c>
      <c r="FD4" s="291"/>
      <c r="FE4" s="291"/>
      <c r="FF4" s="291"/>
      <c r="FG4" s="291"/>
      <c r="FH4" s="291"/>
      <c r="FI4" s="291"/>
      <c r="FJ4" s="291"/>
      <c r="FK4" s="291"/>
      <c r="FL4" s="291"/>
      <c r="FM4" s="291"/>
      <c r="FN4" s="291"/>
      <c r="FO4" s="292"/>
    </row>
    <row r="5" spans="1:171" ht="39" customHeight="1">
      <c r="A5" s="296"/>
      <c r="B5" s="297"/>
      <c r="C5" s="297"/>
      <c r="D5" s="297"/>
      <c r="E5" s="297"/>
      <c r="F5" s="297"/>
      <c r="G5" s="297"/>
      <c r="H5" s="29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9"/>
      <c r="CN5" s="296"/>
      <c r="CO5" s="297"/>
      <c r="CP5" s="297"/>
      <c r="CQ5" s="297"/>
      <c r="CR5" s="297"/>
      <c r="CS5" s="297"/>
      <c r="CT5" s="297"/>
      <c r="CU5" s="298"/>
      <c r="CV5" s="296"/>
      <c r="CW5" s="297"/>
      <c r="CX5" s="297"/>
      <c r="CY5" s="297"/>
      <c r="CZ5" s="297"/>
      <c r="DA5" s="297"/>
      <c r="DB5" s="297"/>
      <c r="DC5" s="297"/>
      <c r="DD5" s="297"/>
      <c r="DE5" s="298"/>
      <c r="DF5" s="296"/>
      <c r="DG5" s="297"/>
      <c r="DH5" s="297"/>
      <c r="DI5" s="297"/>
      <c r="DJ5" s="297"/>
      <c r="DK5" s="297"/>
      <c r="DL5" s="297"/>
      <c r="DM5" s="297"/>
      <c r="DN5" s="297"/>
      <c r="DO5" s="298"/>
      <c r="DP5" s="374" t="s">
        <v>167</v>
      </c>
      <c r="DQ5" s="375"/>
      <c r="DR5" s="375"/>
      <c r="DS5" s="375"/>
      <c r="DT5" s="375"/>
      <c r="DU5" s="375"/>
      <c r="DV5" s="375"/>
      <c r="DW5" s="375"/>
      <c r="DX5" s="375"/>
      <c r="DY5" s="375"/>
      <c r="DZ5" s="375"/>
      <c r="EA5" s="375"/>
      <c r="EB5" s="376"/>
      <c r="EC5" s="374" t="s">
        <v>168</v>
      </c>
      <c r="ED5" s="375"/>
      <c r="EE5" s="375"/>
      <c r="EF5" s="375"/>
      <c r="EG5" s="375"/>
      <c r="EH5" s="375"/>
      <c r="EI5" s="375"/>
      <c r="EJ5" s="375"/>
      <c r="EK5" s="375"/>
      <c r="EL5" s="375"/>
      <c r="EM5" s="375"/>
      <c r="EN5" s="375"/>
      <c r="EO5" s="376"/>
      <c r="EP5" s="374" t="s">
        <v>169</v>
      </c>
      <c r="EQ5" s="375"/>
      <c r="ER5" s="375"/>
      <c r="ES5" s="375"/>
      <c r="ET5" s="375"/>
      <c r="EU5" s="375"/>
      <c r="EV5" s="375"/>
      <c r="EW5" s="375"/>
      <c r="EX5" s="375"/>
      <c r="EY5" s="375"/>
      <c r="EZ5" s="375"/>
      <c r="FA5" s="375"/>
      <c r="FB5" s="376"/>
      <c r="FC5" s="296"/>
      <c r="FD5" s="297"/>
      <c r="FE5" s="297"/>
      <c r="FF5" s="297"/>
      <c r="FG5" s="297"/>
      <c r="FH5" s="297"/>
      <c r="FI5" s="297"/>
      <c r="FJ5" s="297"/>
      <c r="FK5" s="297"/>
      <c r="FL5" s="297"/>
      <c r="FM5" s="297"/>
      <c r="FN5" s="297"/>
      <c r="FO5" s="298"/>
    </row>
    <row r="6" spans="1:171" ht="12" thickBot="1">
      <c r="A6" s="275" t="s">
        <v>9</v>
      </c>
      <c r="B6" s="276"/>
      <c r="C6" s="276"/>
      <c r="D6" s="276"/>
      <c r="E6" s="276"/>
      <c r="F6" s="276"/>
      <c r="G6" s="276"/>
      <c r="H6" s="277"/>
      <c r="I6" s="276" t="s">
        <v>10</v>
      </c>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7"/>
      <c r="CN6" s="371" t="s">
        <v>11</v>
      </c>
      <c r="CO6" s="372"/>
      <c r="CP6" s="372"/>
      <c r="CQ6" s="372"/>
      <c r="CR6" s="372"/>
      <c r="CS6" s="372"/>
      <c r="CT6" s="372"/>
      <c r="CU6" s="373"/>
      <c r="CV6" s="371" t="s">
        <v>12</v>
      </c>
      <c r="CW6" s="372"/>
      <c r="CX6" s="372"/>
      <c r="CY6" s="372"/>
      <c r="CZ6" s="372"/>
      <c r="DA6" s="372"/>
      <c r="DB6" s="372"/>
      <c r="DC6" s="372"/>
      <c r="DD6" s="372"/>
      <c r="DE6" s="373"/>
      <c r="DF6" s="371" t="s">
        <v>434</v>
      </c>
      <c r="DG6" s="372"/>
      <c r="DH6" s="372"/>
      <c r="DI6" s="372"/>
      <c r="DJ6" s="372"/>
      <c r="DK6" s="372"/>
      <c r="DL6" s="372"/>
      <c r="DM6" s="372"/>
      <c r="DN6" s="372"/>
      <c r="DO6" s="373"/>
      <c r="DP6" s="371" t="s">
        <v>13</v>
      </c>
      <c r="DQ6" s="372"/>
      <c r="DR6" s="372"/>
      <c r="DS6" s="372"/>
      <c r="DT6" s="372"/>
      <c r="DU6" s="372"/>
      <c r="DV6" s="372"/>
      <c r="DW6" s="372"/>
      <c r="DX6" s="372"/>
      <c r="DY6" s="372"/>
      <c r="DZ6" s="372"/>
      <c r="EA6" s="372"/>
      <c r="EB6" s="373"/>
      <c r="EC6" s="371" t="s">
        <v>14</v>
      </c>
      <c r="ED6" s="372"/>
      <c r="EE6" s="372"/>
      <c r="EF6" s="372"/>
      <c r="EG6" s="372"/>
      <c r="EH6" s="372"/>
      <c r="EI6" s="372"/>
      <c r="EJ6" s="372"/>
      <c r="EK6" s="372"/>
      <c r="EL6" s="372"/>
      <c r="EM6" s="372"/>
      <c r="EN6" s="372"/>
      <c r="EO6" s="373"/>
      <c r="EP6" s="371" t="s">
        <v>15</v>
      </c>
      <c r="EQ6" s="372"/>
      <c r="ER6" s="372"/>
      <c r="ES6" s="372"/>
      <c r="ET6" s="372"/>
      <c r="EU6" s="372"/>
      <c r="EV6" s="372"/>
      <c r="EW6" s="372"/>
      <c r="EX6" s="372"/>
      <c r="EY6" s="372"/>
      <c r="EZ6" s="372"/>
      <c r="FA6" s="372"/>
      <c r="FB6" s="373"/>
      <c r="FC6" s="278" t="s">
        <v>16</v>
      </c>
      <c r="FD6" s="279"/>
      <c r="FE6" s="279"/>
      <c r="FF6" s="279"/>
      <c r="FG6" s="279"/>
      <c r="FH6" s="279"/>
      <c r="FI6" s="279"/>
      <c r="FJ6" s="279"/>
      <c r="FK6" s="279"/>
      <c r="FL6" s="279"/>
      <c r="FM6" s="279"/>
      <c r="FN6" s="279"/>
      <c r="FO6" s="280"/>
    </row>
    <row r="7" spans="1:171" ht="12.75" customHeight="1">
      <c r="A7" s="265">
        <v>1</v>
      </c>
      <c r="B7" s="263"/>
      <c r="C7" s="263"/>
      <c r="D7" s="263"/>
      <c r="E7" s="263"/>
      <c r="F7" s="263"/>
      <c r="G7" s="263"/>
      <c r="H7" s="264"/>
      <c r="I7" s="299" t="s">
        <v>171</v>
      </c>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0"/>
      <c r="BN7" s="300"/>
      <c r="BO7" s="300"/>
      <c r="BP7" s="300"/>
      <c r="BQ7" s="300"/>
      <c r="BR7" s="300"/>
      <c r="BS7" s="300"/>
      <c r="BT7" s="300"/>
      <c r="BU7" s="300"/>
      <c r="BV7" s="300"/>
      <c r="BW7" s="300"/>
      <c r="BX7" s="300"/>
      <c r="BY7" s="300"/>
      <c r="BZ7" s="300"/>
      <c r="CA7" s="300"/>
      <c r="CB7" s="300"/>
      <c r="CC7" s="300"/>
      <c r="CD7" s="300"/>
      <c r="CE7" s="300"/>
      <c r="CF7" s="300"/>
      <c r="CG7" s="300"/>
      <c r="CH7" s="300"/>
      <c r="CI7" s="300"/>
      <c r="CJ7" s="300"/>
      <c r="CK7" s="300"/>
      <c r="CL7" s="300"/>
      <c r="CM7" s="300"/>
      <c r="CN7" s="377" t="s">
        <v>172</v>
      </c>
      <c r="CO7" s="378"/>
      <c r="CP7" s="378"/>
      <c r="CQ7" s="378"/>
      <c r="CR7" s="378"/>
      <c r="CS7" s="378"/>
      <c r="CT7" s="378"/>
      <c r="CU7" s="379"/>
      <c r="CV7" s="270" t="s">
        <v>34</v>
      </c>
      <c r="CW7" s="271"/>
      <c r="CX7" s="271"/>
      <c r="CY7" s="271"/>
      <c r="CZ7" s="271"/>
      <c r="DA7" s="271"/>
      <c r="DB7" s="271"/>
      <c r="DC7" s="271"/>
      <c r="DD7" s="271"/>
      <c r="DE7" s="272"/>
      <c r="DF7" s="270"/>
      <c r="DG7" s="271"/>
      <c r="DH7" s="271"/>
      <c r="DI7" s="271"/>
      <c r="DJ7" s="271"/>
      <c r="DK7" s="271"/>
      <c r="DL7" s="271"/>
      <c r="DM7" s="271"/>
      <c r="DN7" s="271"/>
      <c r="DO7" s="272"/>
      <c r="DP7" s="368">
        <f>DP10+DP14</f>
        <v>4460640.59</v>
      </c>
      <c r="DQ7" s="369"/>
      <c r="DR7" s="369"/>
      <c r="DS7" s="369"/>
      <c r="DT7" s="369"/>
      <c r="DU7" s="369"/>
      <c r="DV7" s="369"/>
      <c r="DW7" s="369"/>
      <c r="DX7" s="369"/>
      <c r="DY7" s="369"/>
      <c r="DZ7" s="369"/>
      <c r="EA7" s="369"/>
      <c r="EB7" s="370"/>
      <c r="EC7" s="368">
        <f>EC15+EC18+EC40</f>
        <v>3273107.84</v>
      </c>
      <c r="ED7" s="369"/>
      <c r="EE7" s="369"/>
      <c r="EF7" s="369"/>
      <c r="EG7" s="369"/>
      <c r="EH7" s="369"/>
      <c r="EI7" s="369"/>
      <c r="EJ7" s="369"/>
      <c r="EK7" s="369"/>
      <c r="EL7" s="369"/>
      <c r="EM7" s="369"/>
      <c r="EN7" s="369"/>
      <c r="EO7" s="370"/>
      <c r="EP7" s="368">
        <f>EP15+EP18+EP40</f>
        <v>3273107.84</v>
      </c>
      <c r="EQ7" s="369"/>
      <c r="ER7" s="369"/>
      <c r="ES7" s="369"/>
      <c r="ET7" s="369"/>
      <c r="EU7" s="369"/>
      <c r="EV7" s="369"/>
      <c r="EW7" s="369"/>
      <c r="EX7" s="369"/>
      <c r="EY7" s="369"/>
      <c r="EZ7" s="369"/>
      <c r="FA7" s="369"/>
      <c r="FB7" s="370"/>
      <c r="FC7" s="368">
        <f>FC15+FC18+FC40</f>
        <v>483660.7</v>
      </c>
      <c r="FD7" s="369"/>
      <c r="FE7" s="369"/>
      <c r="FF7" s="369"/>
      <c r="FG7" s="369"/>
      <c r="FH7" s="369"/>
      <c r="FI7" s="369"/>
      <c r="FJ7" s="369"/>
      <c r="FK7" s="369"/>
      <c r="FL7" s="369"/>
      <c r="FM7" s="369"/>
      <c r="FN7" s="369"/>
      <c r="FO7" s="370"/>
    </row>
    <row r="8" spans="1:171" ht="97.5" customHeight="1">
      <c r="A8" s="258" t="s">
        <v>173</v>
      </c>
      <c r="B8" s="256"/>
      <c r="C8" s="256"/>
      <c r="D8" s="256"/>
      <c r="E8" s="256"/>
      <c r="F8" s="256"/>
      <c r="G8" s="256"/>
      <c r="H8" s="257"/>
      <c r="I8" s="259" t="s">
        <v>175</v>
      </c>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c r="CF8" s="343"/>
      <c r="CG8" s="343"/>
      <c r="CH8" s="343"/>
      <c r="CI8" s="343"/>
      <c r="CJ8" s="343"/>
      <c r="CK8" s="343"/>
      <c r="CL8" s="343"/>
      <c r="CM8" s="343"/>
      <c r="CN8" s="255" t="s">
        <v>174</v>
      </c>
      <c r="CO8" s="256"/>
      <c r="CP8" s="256"/>
      <c r="CQ8" s="256"/>
      <c r="CR8" s="256"/>
      <c r="CS8" s="256"/>
      <c r="CT8" s="256"/>
      <c r="CU8" s="257"/>
      <c r="CV8" s="258" t="s">
        <v>34</v>
      </c>
      <c r="CW8" s="256"/>
      <c r="CX8" s="256"/>
      <c r="CY8" s="256"/>
      <c r="CZ8" s="256"/>
      <c r="DA8" s="256"/>
      <c r="DB8" s="256"/>
      <c r="DC8" s="256"/>
      <c r="DD8" s="256"/>
      <c r="DE8" s="257"/>
      <c r="DF8" s="258"/>
      <c r="DG8" s="256"/>
      <c r="DH8" s="256"/>
      <c r="DI8" s="256"/>
      <c r="DJ8" s="256"/>
      <c r="DK8" s="256"/>
      <c r="DL8" s="256"/>
      <c r="DM8" s="256"/>
      <c r="DN8" s="256"/>
      <c r="DO8" s="257"/>
      <c r="DP8" s="335">
        <v>0</v>
      </c>
      <c r="DQ8" s="336"/>
      <c r="DR8" s="336"/>
      <c r="DS8" s="336"/>
      <c r="DT8" s="336"/>
      <c r="DU8" s="336"/>
      <c r="DV8" s="336"/>
      <c r="DW8" s="336"/>
      <c r="DX8" s="336"/>
      <c r="DY8" s="336"/>
      <c r="DZ8" s="336"/>
      <c r="EA8" s="336"/>
      <c r="EB8" s="337"/>
      <c r="EC8" s="335">
        <v>0</v>
      </c>
      <c r="ED8" s="336"/>
      <c r="EE8" s="336"/>
      <c r="EF8" s="336"/>
      <c r="EG8" s="336"/>
      <c r="EH8" s="336"/>
      <c r="EI8" s="336"/>
      <c r="EJ8" s="336"/>
      <c r="EK8" s="336"/>
      <c r="EL8" s="336"/>
      <c r="EM8" s="336"/>
      <c r="EN8" s="336"/>
      <c r="EO8" s="337"/>
      <c r="EP8" s="335">
        <v>0</v>
      </c>
      <c r="EQ8" s="336"/>
      <c r="ER8" s="336"/>
      <c r="ES8" s="336"/>
      <c r="ET8" s="336"/>
      <c r="EU8" s="336"/>
      <c r="EV8" s="336"/>
      <c r="EW8" s="336"/>
      <c r="EX8" s="336"/>
      <c r="EY8" s="336"/>
      <c r="EZ8" s="336"/>
      <c r="FA8" s="336"/>
      <c r="FB8" s="337"/>
      <c r="FC8" s="335"/>
      <c r="FD8" s="336"/>
      <c r="FE8" s="336"/>
      <c r="FF8" s="336"/>
      <c r="FG8" s="336"/>
      <c r="FH8" s="336"/>
      <c r="FI8" s="336"/>
      <c r="FJ8" s="336"/>
      <c r="FK8" s="336"/>
      <c r="FL8" s="336"/>
      <c r="FM8" s="336"/>
      <c r="FN8" s="336"/>
      <c r="FO8" s="338"/>
    </row>
    <row r="9" spans="1:171" ht="24" customHeight="1">
      <c r="A9" s="258" t="s">
        <v>176</v>
      </c>
      <c r="B9" s="256"/>
      <c r="C9" s="256"/>
      <c r="D9" s="256"/>
      <c r="E9" s="256"/>
      <c r="F9" s="256"/>
      <c r="G9" s="256"/>
      <c r="H9" s="257"/>
      <c r="I9" s="259" t="s">
        <v>178</v>
      </c>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255" t="s">
        <v>177</v>
      </c>
      <c r="CO9" s="256"/>
      <c r="CP9" s="256"/>
      <c r="CQ9" s="256"/>
      <c r="CR9" s="256"/>
      <c r="CS9" s="256"/>
      <c r="CT9" s="256"/>
      <c r="CU9" s="257"/>
      <c r="CV9" s="258" t="s">
        <v>34</v>
      </c>
      <c r="CW9" s="256"/>
      <c r="CX9" s="256"/>
      <c r="CY9" s="256"/>
      <c r="CZ9" s="256"/>
      <c r="DA9" s="256"/>
      <c r="DB9" s="256"/>
      <c r="DC9" s="256"/>
      <c r="DD9" s="256"/>
      <c r="DE9" s="257"/>
      <c r="DF9" s="258"/>
      <c r="DG9" s="256"/>
      <c r="DH9" s="256"/>
      <c r="DI9" s="256"/>
      <c r="DJ9" s="256"/>
      <c r="DK9" s="256"/>
      <c r="DL9" s="256"/>
      <c r="DM9" s="256"/>
      <c r="DN9" s="256"/>
      <c r="DO9" s="257"/>
      <c r="DP9" s="335">
        <v>0</v>
      </c>
      <c r="DQ9" s="336"/>
      <c r="DR9" s="336"/>
      <c r="DS9" s="336"/>
      <c r="DT9" s="336"/>
      <c r="DU9" s="336"/>
      <c r="DV9" s="336"/>
      <c r="DW9" s="336"/>
      <c r="DX9" s="336"/>
      <c r="DY9" s="336"/>
      <c r="DZ9" s="336"/>
      <c r="EA9" s="336"/>
      <c r="EB9" s="337"/>
      <c r="EC9" s="335">
        <v>0</v>
      </c>
      <c r="ED9" s="336"/>
      <c r="EE9" s="336"/>
      <c r="EF9" s="336"/>
      <c r="EG9" s="336"/>
      <c r="EH9" s="336"/>
      <c r="EI9" s="336"/>
      <c r="EJ9" s="336"/>
      <c r="EK9" s="336"/>
      <c r="EL9" s="336"/>
      <c r="EM9" s="336"/>
      <c r="EN9" s="336"/>
      <c r="EO9" s="337"/>
      <c r="EP9" s="335">
        <v>0</v>
      </c>
      <c r="EQ9" s="336"/>
      <c r="ER9" s="336"/>
      <c r="ES9" s="336"/>
      <c r="ET9" s="336"/>
      <c r="EU9" s="336"/>
      <c r="EV9" s="336"/>
      <c r="EW9" s="336"/>
      <c r="EX9" s="336"/>
      <c r="EY9" s="336"/>
      <c r="EZ9" s="336"/>
      <c r="FA9" s="336"/>
      <c r="FB9" s="337"/>
      <c r="FC9" s="335"/>
      <c r="FD9" s="336"/>
      <c r="FE9" s="336"/>
      <c r="FF9" s="336"/>
      <c r="FG9" s="336"/>
      <c r="FH9" s="336"/>
      <c r="FI9" s="336"/>
      <c r="FJ9" s="336"/>
      <c r="FK9" s="336"/>
      <c r="FL9" s="336"/>
      <c r="FM9" s="336"/>
      <c r="FN9" s="336"/>
      <c r="FO9" s="338"/>
    </row>
    <row r="10" spans="1:171" ht="24" customHeight="1">
      <c r="A10" s="258" t="s">
        <v>179</v>
      </c>
      <c r="B10" s="256"/>
      <c r="C10" s="256"/>
      <c r="D10" s="256"/>
      <c r="E10" s="256"/>
      <c r="F10" s="256"/>
      <c r="G10" s="256"/>
      <c r="H10" s="257"/>
      <c r="I10" s="259" t="s">
        <v>183</v>
      </c>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255" t="s">
        <v>181</v>
      </c>
      <c r="CO10" s="256"/>
      <c r="CP10" s="256"/>
      <c r="CQ10" s="256"/>
      <c r="CR10" s="256"/>
      <c r="CS10" s="256"/>
      <c r="CT10" s="256"/>
      <c r="CU10" s="257"/>
      <c r="CV10" s="258" t="s">
        <v>34</v>
      </c>
      <c r="CW10" s="256"/>
      <c r="CX10" s="256"/>
      <c r="CY10" s="256"/>
      <c r="CZ10" s="256"/>
      <c r="DA10" s="256"/>
      <c r="DB10" s="256"/>
      <c r="DC10" s="256"/>
      <c r="DD10" s="256"/>
      <c r="DE10" s="257"/>
      <c r="DF10" s="258"/>
      <c r="DG10" s="256"/>
      <c r="DH10" s="256"/>
      <c r="DI10" s="256"/>
      <c r="DJ10" s="256"/>
      <c r="DK10" s="256"/>
      <c r="DL10" s="256"/>
      <c r="DM10" s="256"/>
      <c r="DN10" s="256"/>
      <c r="DO10" s="257"/>
      <c r="DP10" s="335">
        <f>DP11</f>
        <v>282334.52</v>
      </c>
      <c r="DQ10" s="336"/>
      <c r="DR10" s="336"/>
      <c r="DS10" s="336"/>
      <c r="DT10" s="336"/>
      <c r="DU10" s="336"/>
      <c r="DV10" s="336"/>
      <c r="DW10" s="336"/>
      <c r="DX10" s="336"/>
      <c r="DY10" s="336"/>
      <c r="DZ10" s="336"/>
      <c r="EA10" s="336"/>
      <c r="EB10" s="337"/>
      <c r="EC10" s="335"/>
      <c r="ED10" s="336"/>
      <c r="EE10" s="336"/>
      <c r="EF10" s="336"/>
      <c r="EG10" s="336"/>
      <c r="EH10" s="336"/>
      <c r="EI10" s="336"/>
      <c r="EJ10" s="336"/>
      <c r="EK10" s="336"/>
      <c r="EL10" s="336"/>
      <c r="EM10" s="336"/>
      <c r="EN10" s="336"/>
      <c r="EO10" s="337"/>
      <c r="EP10" s="335"/>
      <c r="EQ10" s="336"/>
      <c r="ER10" s="336"/>
      <c r="ES10" s="336"/>
      <c r="ET10" s="336"/>
      <c r="EU10" s="336"/>
      <c r="EV10" s="336"/>
      <c r="EW10" s="336"/>
      <c r="EX10" s="336"/>
      <c r="EY10" s="336"/>
      <c r="EZ10" s="336"/>
      <c r="FA10" s="336"/>
      <c r="FB10" s="337"/>
      <c r="FC10" s="335"/>
      <c r="FD10" s="336"/>
      <c r="FE10" s="336"/>
      <c r="FF10" s="336"/>
      <c r="FG10" s="336"/>
      <c r="FH10" s="336"/>
      <c r="FI10" s="336"/>
      <c r="FJ10" s="336"/>
      <c r="FK10" s="336"/>
      <c r="FL10" s="336"/>
      <c r="FM10" s="336"/>
      <c r="FN10" s="336"/>
      <c r="FO10" s="338"/>
    </row>
    <row r="11" spans="1:171" ht="13.5" customHeight="1">
      <c r="A11" s="258" t="s">
        <v>435</v>
      </c>
      <c r="B11" s="256"/>
      <c r="C11" s="256"/>
      <c r="D11" s="256"/>
      <c r="E11" s="256"/>
      <c r="F11" s="256"/>
      <c r="G11" s="256"/>
      <c r="H11" s="257"/>
      <c r="I11" s="259" t="s">
        <v>436</v>
      </c>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255" t="s">
        <v>437</v>
      </c>
      <c r="CO11" s="256"/>
      <c r="CP11" s="256"/>
      <c r="CQ11" s="256"/>
      <c r="CR11" s="256"/>
      <c r="CS11" s="256"/>
      <c r="CT11" s="256"/>
      <c r="CU11" s="257"/>
      <c r="CV11" s="258" t="s">
        <v>34</v>
      </c>
      <c r="CW11" s="256"/>
      <c r="CX11" s="256"/>
      <c r="CY11" s="256"/>
      <c r="CZ11" s="256"/>
      <c r="DA11" s="256"/>
      <c r="DB11" s="256"/>
      <c r="DC11" s="256"/>
      <c r="DD11" s="256"/>
      <c r="DE11" s="257"/>
      <c r="DF11" s="258"/>
      <c r="DG11" s="256"/>
      <c r="DH11" s="256"/>
      <c r="DI11" s="256"/>
      <c r="DJ11" s="256"/>
      <c r="DK11" s="256"/>
      <c r="DL11" s="256"/>
      <c r="DM11" s="256"/>
      <c r="DN11" s="256"/>
      <c r="DO11" s="257"/>
      <c r="DP11" s="335">
        <v>282334.52</v>
      </c>
      <c r="DQ11" s="336"/>
      <c r="DR11" s="336"/>
      <c r="DS11" s="336"/>
      <c r="DT11" s="336"/>
      <c r="DU11" s="336"/>
      <c r="DV11" s="336"/>
      <c r="DW11" s="336"/>
      <c r="DX11" s="336"/>
      <c r="DY11" s="336"/>
      <c r="DZ11" s="336"/>
      <c r="EA11" s="336"/>
      <c r="EB11" s="337"/>
      <c r="EC11" s="335"/>
      <c r="ED11" s="336"/>
      <c r="EE11" s="336"/>
      <c r="EF11" s="336"/>
      <c r="EG11" s="336"/>
      <c r="EH11" s="336"/>
      <c r="EI11" s="336"/>
      <c r="EJ11" s="336"/>
      <c r="EK11" s="336"/>
      <c r="EL11" s="336"/>
      <c r="EM11" s="336"/>
      <c r="EN11" s="336"/>
      <c r="EO11" s="337"/>
      <c r="EP11" s="335"/>
      <c r="EQ11" s="336"/>
      <c r="ER11" s="336"/>
      <c r="ES11" s="336"/>
      <c r="ET11" s="336"/>
      <c r="EU11" s="336"/>
      <c r="EV11" s="336"/>
      <c r="EW11" s="336"/>
      <c r="EX11" s="336"/>
      <c r="EY11" s="336"/>
      <c r="EZ11" s="336"/>
      <c r="FA11" s="336"/>
      <c r="FB11" s="337"/>
      <c r="FC11" s="335"/>
      <c r="FD11" s="336"/>
      <c r="FE11" s="336"/>
      <c r="FF11" s="336"/>
      <c r="FG11" s="336"/>
      <c r="FH11" s="336"/>
      <c r="FI11" s="336"/>
      <c r="FJ11" s="336"/>
      <c r="FK11" s="336"/>
      <c r="FL11" s="336"/>
      <c r="FM11" s="336"/>
      <c r="FN11" s="336"/>
      <c r="FO11" s="338"/>
    </row>
    <row r="12" spans="1:171" ht="13.5" customHeight="1">
      <c r="A12" s="258"/>
      <c r="B12" s="256"/>
      <c r="C12" s="256"/>
      <c r="D12" s="256"/>
      <c r="E12" s="256"/>
      <c r="F12" s="256"/>
      <c r="G12" s="256"/>
      <c r="H12" s="257"/>
      <c r="I12" s="259" t="s">
        <v>438</v>
      </c>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343"/>
      <c r="CM12" s="343"/>
      <c r="CN12" s="255" t="s">
        <v>439</v>
      </c>
      <c r="CO12" s="256"/>
      <c r="CP12" s="256"/>
      <c r="CQ12" s="256"/>
      <c r="CR12" s="256"/>
      <c r="CS12" s="256"/>
      <c r="CT12" s="256"/>
      <c r="CU12" s="257"/>
      <c r="CV12" s="258" t="s">
        <v>34</v>
      </c>
      <c r="CW12" s="256"/>
      <c r="CX12" s="256"/>
      <c r="CY12" s="256"/>
      <c r="CZ12" s="256"/>
      <c r="DA12" s="256"/>
      <c r="DB12" s="256"/>
      <c r="DC12" s="256"/>
      <c r="DD12" s="256"/>
      <c r="DE12" s="257"/>
      <c r="DF12" s="258"/>
      <c r="DG12" s="256"/>
      <c r="DH12" s="256"/>
      <c r="DI12" s="256"/>
      <c r="DJ12" s="256"/>
      <c r="DK12" s="256"/>
      <c r="DL12" s="256"/>
      <c r="DM12" s="256"/>
      <c r="DN12" s="256"/>
      <c r="DO12" s="257"/>
      <c r="DP12" s="335"/>
      <c r="DQ12" s="336"/>
      <c r="DR12" s="336"/>
      <c r="DS12" s="336"/>
      <c r="DT12" s="336"/>
      <c r="DU12" s="336"/>
      <c r="DV12" s="336"/>
      <c r="DW12" s="336"/>
      <c r="DX12" s="336"/>
      <c r="DY12" s="336"/>
      <c r="DZ12" s="336"/>
      <c r="EA12" s="336"/>
      <c r="EB12" s="337"/>
      <c r="EC12" s="335"/>
      <c r="ED12" s="336"/>
      <c r="EE12" s="336"/>
      <c r="EF12" s="336"/>
      <c r="EG12" s="336"/>
      <c r="EH12" s="336"/>
      <c r="EI12" s="336"/>
      <c r="EJ12" s="336"/>
      <c r="EK12" s="336"/>
      <c r="EL12" s="336"/>
      <c r="EM12" s="336"/>
      <c r="EN12" s="336"/>
      <c r="EO12" s="337"/>
      <c r="EP12" s="335"/>
      <c r="EQ12" s="336"/>
      <c r="ER12" s="336"/>
      <c r="ES12" s="336"/>
      <c r="ET12" s="336"/>
      <c r="EU12" s="336"/>
      <c r="EV12" s="336"/>
      <c r="EW12" s="336"/>
      <c r="EX12" s="336"/>
      <c r="EY12" s="336"/>
      <c r="EZ12" s="336"/>
      <c r="FA12" s="336"/>
      <c r="FB12" s="337"/>
      <c r="FC12" s="335"/>
      <c r="FD12" s="336"/>
      <c r="FE12" s="336"/>
      <c r="FF12" s="336"/>
      <c r="FG12" s="336"/>
      <c r="FH12" s="336"/>
      <c r="FI12" s="336"/>
      <c r="FJ12" s="336"/>
      <c r="FK12" s="336"/>
      <c r="FL12" s="336"/>
      <c r="FM12" s="336"/>
      <c r="FN12" s="336"/>
      <c r="FO12" s="338"/>
    </row>
    <row r="13" spans="1:171" ht="13.5" customHeight="1">
      <c r="A13" s="258" t="s">
        <v>440</v>
      </c>
      <c r="B13" s="256"/>
      <c r="C13" s="256"/>
      <c r="D13" s="256"/>
      <c r="E13" s="256"/>
      <c r="F13" s="256"/>
      <c r="G13" s="256"/>
      <c r="H13" s="257"/>
      <c r="I13" s="259" t="s">
        <v>441</v>
      </c>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3"/>
      <c r="CL13" s="343"/>
      <c r="CM13" s="343"/>
      <c r="CN13" s="255" t="s">
        <v>442</v>
      </c>
      <c r="CO13" s="256"/>
      <c r="CP13" s="256"/>
      <c r="CQ13" s="256"/>
      <c r="CR13" s="256"/>
      <c r="CS13" s="256"/>
      <c r="CT13" s="256"/>
      <c r="CU13" s="257"/>
      <c r="CV13" s="258" t="s">
        <v>34</v>
      </c>
      <c r="CW13" s="256"/>
      <c r="CX13" s="256"/>
      <c r="CY13" s="256"/>
      <c r="CZ13" s="256"/>
      <c r="DA13" s="256"/>
      <c r="DB13" s="256"/>
      <c r="DC13" s="256"/>
      <c r="DD13" s="256"/>
      <c r="DE13" s="257"/>
      <c r="DF13" s="258"/>
      <c r="DG13" s="256"/>
      <c r="DH13" s="256"/>
      <c r="DI13" s="256"/>
      <c r="DJ13" s="256"/>
      <c r="DK13" s="256"/>
      <c r="DL13" s="256"/>
      <c r="DM13" s="256"/>
      <c r="DN13" s="256"/>
      <c r="DO13" s="257"/>
      <c r="DP13" s="335"/>
      <c r="DQ13" s="336"/>
      <c r="DR13" s="336"/>
      <c r="DS13" s="336"/>
      <c r="DT13" s="336"/>
      <c r="DU13" s="336"/>
      <c r="DV13" s="336"/>
      <c r="DW13" s="336"/>
      <c r="DX13" s="336"/>
      <c r="DY13" s="336"/>
      <c r="DZ13" s="336"/>
      <c r="EA13" s="336"/>
      <c r="EB13" s="337"/>
      <c r="EC13" s="335"/>
      <c r="ED13" s="336"/>
      <c r="EE13" s="336"/>
      <c r="EF13" s="336"/>
      <c r="EG13" s="336"/>
      <c r="EH13" s="336"/>
      <c r="EI13" s="336"/>
      <c r="EJ13" s="336"/>
      <c r="EK13" s="336"/>
      <c r="EL13" s="336"/>
      <c r="EM13" s="336"/>
      <c r="EN13" s="336"/>
      <c r="EO13" s="337"/>
      <c r="EP13" s="335"/>
      <c r="EQ13" s="336"/>
      <c r="ER13" s="336"/>
      <c r="ES13" s="336"/>
      <c r="ET13" s="336"/>
      <c r="EU13" s="336"/>
      <c r="EV13" s="336"/>
      <c r="EW13" s="336"/>
      <c r="EX13" s="336"/>
      <c r="EY13" s="336"/>
      <c r="EZ13" s="336"/>
      <c r="FA13" s="336"/>
      <c r="FB13" s="337"/>
      <c r="FC13" s="335"/>
      <c r="FD13" s="336"/>
      <c r="FE13" s="336"/>
      <c r="FF13" s="336"/>
      <c r="FG13" s="336"/>
      <c r="FH13" s="336"/>
      <c r="FI13" s="336"/>
      <c r="FJ13" s="336"/>
      <c r="FK13" s="336"/>
      <c r="FL13" s="336"/>
      <c r="FM13" s="336"/>
      <c r="FN13" s="336"/>
      <c r="FO13" s="338"/>
    </row>
    <row r="14" spans="1:171" ht="24" customHeight="1">
      <c r="A14" s="258" t="s">
        <v>180</v>
      </c>
      <c r="B14" s="256"/>
      <c r="C14" s="256"/>
      <c r="D14" s="256"/>
      <c r="E14" s="256"/>
      <c r="F14" s="256"/>
      <c r="G14" s="256"/>
      <c r="H14" s="257"/>
      <c r="I14" s="259" t="s">
        <v>184</v>
      </c>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3"/>
      <c r="CL14" s="343"/>
      <c r="CM14" s="343"/>
      <c r="CN14" s="255" t="s">
        <v>182</v>
      </c>
      <c r="CO14" s="256"/>
      <c r="CP14" s="256"/>
      <c r="CQ14" s="256"/>
      <c r="CR14" s="256"/>
      <c r="CS14" s="256"/>
      <c r="CT14" s="256"/>
      <c r="CU14" s="257"/>
      <c r="CV14" s="258" t="s">
        <v>34</v>
      </c>
      <c r="CW14" s="256"/>
      <c r="CX14" s="256"/>
      <c r="CY14" s="256"/>
      <c r="CZ14" s="256"/>
      <c r="DA14" s="256"/>
      <c r="DB14" s="256"/>
      <c r="DC14" s="256"/>
      <c r="DD14" s="256"/>
      <c r="DE14" s="257"/>
      <c r="DF14" s="258"/>
      <c r="DG14" s="256"/>
      <c r="DH14" s="256"/>
      <c r="DI14" s="256"/>
      <c r="DJ14" s="256"/>
      <c r="DK14" s="256"/>
      <c r="DL14" s="256"/>
      <c r="DM14" s="256"/>
      <c r="DN14" s="256"/>
      <c r="DO14" s="257"/>
      <c r="DP14" s="335">
        <f>DP15+DP18+DP35+DP37+DP40</f>
        <v>4178306.0700000003</v>
      </c>
      <c r="DQ14" s="336"/>
      <c r="DR14" s="336"/>
      <c r="DS14" s="336"/>
      <c r="DT14" s="336"/>
      <c r="DU14" s="336"/>
      <c r="DV14" s="336"/>
      <c r="DW14" s="336"/>
      <c r="DX14" s="336"/>
      <c r="DY14" s="336"/>
      <c r="DZ14" s="336"/>
      <c r="EA14" s="336"/>
      <c r="EB14" s="337"/>
      <c r="EC14" s="335">
        <f>EC7-EC10</f>
        <v>3273107.84</v>
      </c>
      <c r="ED14" s="336"/>
      <c r="EE14" s="336"/>
      <c r="EF14" s="336"/>
      <c r="EG14" s="336"/>
      <c r="EH14" s="336"/>
      <c r="EI14" s="336"/>
      <c r="EJ14" s="336"/>
      <c r="EK14" s="336"/>
      <c r="EL14" s="336"/>
      <c r="EM14" s="336"/>
      <c r="EN14" s="336"/>
      <c r="EO14" s="337"/>
      <c r="EP14" s="335">
        <f>EP7-EP10</f>
        <v>3273107.84</v>
      </c>
      <c r="EQ14" s="336"/>
      <c r="ER14" s="336"/>
      <c r="ES14" s="336"/>
      <c r="ET14" s="336"/>
      <c r="EU14" s="336"/>
      <c r="EV14" s="336"/>
      <c r="EW14" s="336"/>
      <c r="EX14" s="336"/>
      <c r="EY14" s="336"/>
      <c r="EZ14" s="336"/>
      <c r="FA14" s="336"/>
      <c r="FB14" s="337"/>
      <c r="FC14" s="335">
        <f>FC7-FC10</f>
        <v>483660.7</v>
      </c>
      <c r="FD14" s="336"/>
      <c r="FE14" s="336"/>
      <c r="FF14" s="336"/>
      <c r="FG14" s="336"/>
      <c r="FH14" s="336"/>
      <c r="FI14" s="336"/>
      <c r="FJ14" s="336"/>
      <c r="FK14" s="336"/>
      <c r="FL14" s="336"/>
      <c r="FM14" s="336"/>
      <c r="FN14" s="336"/>
      <c r="FO14" s="337"/>
    </row>
    <row r="15" spans="1:171" ht="34.5" customHeight="1">
      <c r="A15" s="258" t="s">
        <v>185</v>
      </c>
      <c r="B15" s="256"/>
      <c r="C15" s="256"/>
      <c r="D15" s="256"/>
      <c r="E15" s="256"/>
      <c r="F15" s="256"/>
      <c r="G15" s="256"/>
      <c r="H15" s="257"/>
      <c r="I15" s="313" t="s">
        <v>187</v>
      </c>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255" t="s">
        <v>186</v>
      </c>
      <c r="CO15" s="256"/>
      <c r="CP15" s="256"/>
      <c r="CQ15" s="256"/>
      <c r="CR15" s="256"/>
      <c r="CS15" s="256"/>
      <c r="CT15" s="256"/>
      <c r="CU15" s="257"/>
      <c r="CV15" s="258" t="s">
        <v>34</v>
      </c>
      <c r="CW15" s="256"/>
      <c r="CX15" s="256"/>
      <c r="CY15" s="256"/>
      <c r="CZ15" s="256"/>
      <c r="DA15" s="256"/>
      <c r="DB15" s="256"/>
      <c r="DC15" s="256"/>
      <c r="DD15" s="256"/>
      <c r="DE15" s="257"/>
      <c r="DF15" s="258"/>
      <c r="DG15" s="256"/>
      <c r="DH15" s="256"/>
      <c r="DI15" s="256"/>
      <c r="DJ15" s="256"/>
      <c r="DK15" s="256"/>
      <c r="DL15" s="256"/>
      <c r="DM15" s="256"/>
      <c r="DN15" s="256"/>
      <c r="DO15" s="257"/>
      <c r="DP15" s="335">
        <f>DP16</f>
        <v>2008965.7499999998</v>
      </c>
      <c r="DQ15" s="336"/>
      <c r="DR15" s="336"/>
      <c r="DS15" s="336"/>
      <c r="DT15" s="336"/>
      <c r="DU15" s="336"/>
      <c r="DV15" s="336"/>
      <c r="DW15" s="336"/>
      <c r="DX15" s="336"/>
      <c r="DY15" s="336"/>
      <c r="DZ15" s="336"/>
      <c r="EA15" s="336"/>
      <c r="EB15" s="337"/>
      <c r="EC15" s="335">
        <f>EC16</f>
        <v>1673274</v>
      </c>
      <c r="ED15" s="336"/>
      <c r="EE15" s="336"/>
      <c r="EF15" s="336"/>
      <c r="EG15" s="336"/>
      <c r="EH15" s="336"/>
      <c r="EI15" s="336"/>
      <c r="EJ15" s="336"/>
      <c r="EK15" s="336"/>
      <c r="EL15" s="336"/>
      <c r="EM15" s="336"/>
      <c r="EN15" s="336"/>
      <c r="EO15" s="337"/>
      <c r="EP15" s="335">
        <f>EP16</f>
        <v>1673274</v>
      </c>
      <c r="EQ15" s="336"/>
      <c r="ER15" s="336"/>
      <c r="ES15" s="336"/>
      <c r="ET15" s="336"/>
      <c r="EU15" s="336"/>
      <c r="EV15" s="336"/>
      <c r="EW15" s="336"/>
      <c r="EX15" s="336"/>
      <c r="EY15" s="336"/>
      <c r="EZ15" s="336"/>
      <c r="FA15" s="336"/>
      <c r="FB15" s="337"/>
      <c r="FC15" s="335">
        <f>FC16</f>
        <v>483660.7</v>
      </c>
      <c r="FD15" s="336"/>
      <c r="FE15" s="336"/>
      <c r="FF15" s="336"/>
      <c r="FG15" s="336"/>
      <c r="FH15" s="336"/>
      <c r="FI15" s="336"/>
      <c r="FJ15" s="336"/>
      <c r="FK15" s="336"/>
      <c r="FL15" s="336"/>
      <c r="FM15" s="336"/>
      <c r="FN15" s="336"/>
      <c r="FO15" s="337"/>
    </row>
    <row r="16" spans="1:171" ht="24" customHeight="1">
      <c r="A16" s="258" t="s">
        <v>188</v>
      </c>
      <c r="B16" s="256"/>
      <c r="C16" s="256"/>
      <c r="D16" s="256"/>
      <c r="E16" s="256"/>
      <c r="F16" s="256"/>
      <c r="G16" s="256"/>
      <c r="H16" s="257"/>
      <c r="I16" s="310" t="s">
        <v>189</v>
      </c>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1"/>
      <c r="CG16" s="341"/>
      <c r="CH16" s="341"/>
      <c r="CI16" s="341"/>
      <c r="CJ16" s="341"/>
      <c r="CK16" s="341"/>
      <c r="CL16" s="341"/>
      <c r="CM16" s="341"/>
      <c r="CN16" s="255" t="s">
        <v>190</v>
      </c>
      <c r="CO16" s="256"/>
      <c r="CP16" s="256"/>
      <c r="CQ16" s="256"/>
      <c r="CR16" s="256"/>
      <c r="CS16" s="256"/>
      <c r="CT16" s="256"/>
      <c r="CU16" s="257"/>
      <c r="CV16" s="258" t="s">
        <v>34</v>
      </c>
      <c r="CW16" s="256"/>
      <c r="CX16" s="256"/>
      <c r="CY16" s="256"/>
      <c r="CZ16" s="256"/>
      <c r="DA16" s="256"/>
      <c r="DB16" s="256"/>
      <c r="DC16" s="256"/>
      <c r="DD16" s="256"/>
      <c r="DE16" s="257"/>
      <c r="DF16" s="258"/>
      <c r="DG16" s="256"/>
      <c r="DH16" s="256"/>
      <c r="DI16" s="256"/>
      <c r="DJ16" s="256"/>
      <c r="DK16" s="256"/>
      <c r="DL16" s="256"/>
      <c r="DM16" s="256"/>
      <c r="DN16" s="256"/>
      <c r="DO16" s="257"/>
      <c r="DP16" s="335">
        <f>'стр.2'!CX61-217237.01</f>
        <v>2008965.7499999998</v>
      </c>
      <c r="DQ16" s="336"/>
      <c r="DR16" s="336"/>
      <c r="DS16" s="336"/>
      <c r="DT16" s="336"/>
      <c r="DU16" s="336"/>
      <c r="DV16" s="336"/>
      <c r="DW16" s="336"/>
      <c r="DX16" s="336"/>
      <c r="DY16" s="336"/>
      <c r="DZ16" s="336"/>
      <c r="EA16" s="336"/>
      <c r="EB16" s="337"/>
      <c r="EC16" s="335">
        <f>'стр.2'!CY61</f>
        <v>1673274</v>
      </c>
      <c r="ED16" s="336"/>
      <c r="EE16" s="336"/>
      <c r="EF16" s="336"/>
      <c r="EG16" s="336"/>
      <c r="EH16" s="336"/>
      <c r="EI16" s="336"/>
      <c r="EJ16" s="336"/>
      <c r="EK16" s="336"/>
      <c r="EL16" s="336"/>
      <c r="EM16" s="336"/>
      <c r="EN16" s="336"/>
      <c r="EO16" s="337"/>
      <c r="EP16" s="335">
        <f>'стр.2'!CZ61</f>
        <v>1673274</v>
      </c>
      <c r="EQ16" s="336"/>
      <c r="ER16" s="336"/>
      <c r="ES16" s="336"/>
      <c r="ET16" s="336"/>
      <c r="EU16" s="336"/>
      <c r="EV16" s="336"/>
      <c r="EW16" s="336"/>
      <c r="EX16" s="336"/>
      <c r="EY16" s="336"/>
      <c r="EZ16" s="336"/>
      <c r="FA16" s="336"/>
      <c r="FB16" s="337"/>
      <c r="FC16" s="335">
        <f>'стр.2'!DA61</f>
        <v>483660.7</v>
      </c>
      <c r="FD16" s="336"/>
      <c r="FE16" s="336"/>
      <c r="FF16" s="336"/>
      <c r="FG16" s="336"/>
      <c r="FH16" s="336"/>
      <c r="FI16" s="336"/>
      <c r="FJ16" s="336"/>
      <c r="FK16" s="336"/>
      <c r="FL16" s="336"/>
      <c r="FM16" s="336"/>
      <c r="FN16" s="336"/>
      <c r="FO16" s="338"/>
    </row>
    <row r="17" spans="1:171" ht="12.75" customHeight="1">
      <c r="A17" s="258" t="s">
        <v>191</v>
      </c>
      <c r="B17" s="256"/>
      <c r="C17" s="256"/>
      <c r="D17" s="256"/>
      <c r="E17" s="256"/>
      <c r="F17" s="256"/>
      <c r="G17" s="256"/>
      <c r="H17" s="257"/>
      <c r="I17" s="310" t="s">
        <v>192</v>
      </c>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1"/>
      <c r="CI17" s="341"/>
      <c r="CJ17" s="341"/>
      <c r="CK17" s="341"/>
      <c r="CL17" s="341"/>
      <c r="CM17" s="341"/>
      <c r="CN17" s="255" t="s">
        <v>193</v>
      </c>
      <c r="CO17" s="256"/>
      <c r="CP17" s="256"/>
      <c r="CQ17" s="256"/>
      <c r="CR17" s="256"/>
      <c r="CS17" s="256"/>
      <c r="CT17" s="256"/>
      <c r="CU17" s="257"/>
      <c r="CV17" s="258" t="s">
        <v>34</v>
      </c>
      <c r="CW17" s="256"/>
      <c r="CX17" s="256"/>
      <c r="CY17" s="256"/>
      <c r="CZ17" s="256"/>
      <c r="DA17" s="256"/>
      <c r="DB17" s="256"/>
      <c r="DC17" s="256"/>
      <c r="DD17" s="256"/>
      <c r="DE17" s="257"/>
      <c r="DF17" s="258"/>
      <c r="DG17" s="256"/>
      <c r="DH17" s="256"/>
      <c r="DI17" s="256"/>
      <c r="DJ17" s="256"/>
      <c r="DK17" s="256"/>
      <c r="DL17" s="256"/>
      <c r="DM17" s="256"/>
      <c r="DN17" s="256"/>
      <c r="DO17" s="257"/>
      <c r="DP17" s="335"/>
      <c r="DQ17" s="336"/>
      <c r="DR17" s="336"/>
      <c r="DS17" s="336"/>
      <c r="DT17" s="336"/>
      <c r="DU17" s="336"/>
      <c r="DV17" s="336"/>
      <c r="DW17" s="336"/>
      <c r="DX17" s="336"/>
      <c r="DY17" s="336"/>
      <c r="DZ17" s="336"/>
      <c r="EA17" s="336"/>
      <c r="EB17" s="337"/>
      <c r="EC17" s="335"/>
      <c r="ED17" s="336"/>
      <c r="EE17" s="336"/>
      <c r="EF17" s="336"/>
      <c r="EG17" s="336"/>
      <c r="EH17" s="336"/>
      <c r="EI17" s="336"/>
      <c r="EJ17" s="336"/>
      <c r="EK17" s="336"/>
      <c r="EL17" s="336"/>
      <c r="EM17" s="336"/>
      <c r="EN17" s="336"/>
      <c r="EO17" s="337"/>
      <c r="EP17" s="335"/>
      <c r="EQ17" s="336"/>
      <c r="ER17" s="336"/>
      <c r="ES17" s="336"/>
      <c r="ET17" s="336"/>
      <c r="EU17" s="336"/>
      <c r="EV17" s="336"/>
      <c r="EW17" s="336"/>
      <c r="EX17" s="336"/>
      <c r="EY17" s="336"/>
      <c r="EZ17" s="336"/>
      <c r="FA17" s="336"/>
      <c r="FB17" s="337"/>
      <c r="FC17" s="335"/>
      <c r="FD17" s="336"/>
      <c r="FE17" s="336"/>
      <c r="FF17" s="336"/>
      <c r="FG17" s="336"/>
      <c r="FH17" s="336"/>
      <c r="FI17" s="336"/>
      <c r="FJ17" s="336"/>
      <c r="FK17" s="336"/>
      <c r="FL17" s="336"/>
      <c r="FM17" s="336"/>
      <c r="FN17" s="336"/>
      <c r="FO17" s="338"/>
    </row>
    <row r="18" spans="1:171" ht="24" customHeight="1">
      <c r="A18" s="258" t="s">
        <v>194</v>
      </c>
      <c r="B18" s="256"/>
      <c r="C18" s="256"/>
      <c r="D18" s="256"/>
      <c r="E18" s="256"/>
      <c r="F18" s="256"/>
      <c r="G18" s="256"/>
      <c r="H18" s="257"/>
      <c r="I18" s="313" t="s">
        <v>195</v>
      </c>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255" t="s">
        <v>196</v>
      </c>
      <c r="CO18" s="256"/>
      <c r="CP18" s="256"/>
      <c r="CQ18" s="256"/>
      <c r="CR18" s="256"/>
      <c r="CS18" s="256"/>
      <c r="CT18" s="256"/>
      <c r="CU18" s="257"/>
      <c r="CV18" s="258" t="s">
        <v>34</v>
      </c>
      <c r="CW18" s="256"/>
      <c r="CX18" s="256"/>
      <c r="CY18" s="256"/>
      <c r="CZ18" s="256"/>
      <c r="DA18" s="256"/>
      <c r="DB18" s="256"/>
      <c r="DC18" s="256"/>
      <c r="DD18" s="256"/>
      <c r="DE18" s="257"/>
      <c r="DF18" s="258"/>
      <c r="DG18" s="256"/>
      <c r="DH18" s="256"/>
      <c r="DI18" s="256"/>
      <c r="DJ18" s="256"/>
      <c r="DK18" s="256"/>
      <c r="DL18" s="256"/>
      <c r="DM18" s="256"/>
      <c r="DN18" s="256"/>
      <c r="DO18" s="257"/>
      <c r="DP18" s="335">
        <f>DP19</f>
        <v>1287396</v>
      </c>
      <c r="DQ18" s="336"/>
      <c r="DR18" s="336"/>
      <c r="DS18" s="336"/>
      <c r="DT18" s="336"/>
      <c r="DU18" s="336"/>
      <c r="DV18" s="336"/>
      <c r="DW18" s="336"/>
      <c r="DX18" s="336"/>
      <c r="DY18" s="336"/>
      <c r="DZ18" s="336"/>
      <c r="EA18" s="336"/>
      <c r="EB18" s="337"/>
      <c r="EC18" s="335">
        <f>EC19</f>
        <v>804197</v>
      </c>
      <c r="ED18" s="336"/>
      <c r="EE18" s="336"/>
      <c r="EF18" s="336"/>
      <c r="EG18" s="336"/>
      <c r="EH18" s="336"/>
      <c r="EI18" s="336"/>
      <c r="EJ18" s="336"/>
      <c r="EK18" s="336"/>
      <c r="EL18" s="336"/>
      <c r="EM18" s="336"/>
      <c r="EN18" s="336"/>
      <c r="EO18" s="337"/>
      <c r="EP18" s="335">
        <f>EP19</f>
        <v>804197</v>
      </c>
      <c r="EQ18" s="336"/>
      <c r="ER18" s="336"/>
      <c r="ES18" s="336"/>
      <c r="ET18" s="336"/>
      <c r="EU18" s="336"/>
      <c r="EV18" s="336"/>
      <c r="EW18" s="336"/>
      <c r="EX18" s="336"/>
      <c r="EY18" s="336"/>
      <c r="EZ18" s="336"/>
      <c r="FA18" s="336"/>
      <c r="FB18" s="337"/>
      <c r="FC18" s="335"/>
      <c r="FD18" s="336"/>
      <c r="FE18" s="336"/>
      <c r="FF18" s="336"/>
      <c r="FG18" s="336"/>
      <c r="FH18" s="336"/>
      <c r="FI18" s="336"/>
      <c r="FJ18" s="336"/>
      <c r="FK18" s="336"/>
      <c r="FL18" s="336"/>
      <c r="FM18" s="336"/>
      <c r="FN18" s="336"/>
      <c r="FO18" s="338"/>
    </row>
    <row r="19" spans="1:171" ht="24" customHeight="1">
      <c r="A19" s="258" t="s">
        <v>197</v>
      </c>
      <c r="B19" s="256"/>
      <c r="C19" s="256"/>
      <c r="D19" s="256"/>
      <c r="E19" s="256"/>
      <c r="F19" s="256"/>
      <c r="G19" s="256"/>
      <c r="H19" s="257"/>
      <c r="I19" s="310" t="s">
        <v>189</v>
      </c>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1"/>
      <c r="BV19" s="341"/>
      <c r="BW19" s="341"/>
      <c r="BX19" s="341"/>
      <c r="BY19" s="341"/>
      <c r="BZ19" s="341"/>
      <c r="CA19" s="341"/>
      <c r="CB19" s="341"/>
      <c r="CC19" s="341"/>
      <c r="CD19" s="341"/>
      <c r="CE19" s="341"/>
      <c r="CF19" s="341"/>
      <c r="CG19" s="341"/>
      <c r="CH19" s="341"/>
      <c r="CI19" s="341"/>
      <c r="CJ19" s="341"/>
      <c r="CK19" s="341"/>
      <c r="CL19" s="341"/>
      <c r="CM19" s="341"/>
      <c r="CN19" s="255" t="s">
        <v>198</v>
      </c>
      <c r="CO19" s="256"/>
      <c r="CP19" s="256"/>
      <c r="CQ19" s="256"/>
      <c r="CR19" s="256"/>
      <c r="CS19" s="256"/>
      <c r="CT19" s="256"/>
      <c r="CU19" s="257"/>
      <c r="CV19" s="258" t="s">
        <v>34</v>
      </c>
      <c r="CW19" s="256"/>
      <c r="CX19" s="256"/>
      <c r="CY19" s="256"/>
      <c r="CZ19" s="256"/>
      <c r="DA19" s="256"/>
      <c r="DB19" s="256"/>
      <c r="DC19" s="256"/>
      <c r="DD19" s="256"/>
      <c r="DE19" s="257"/>
      <c r="DF19" s="258"/>
      <c r="DG19" s="256"/>
      <c r="DH19" s="256"/>
      <c r="DI19" s="256"/>
      <c r="DJ19" s="256"/>
      <c r="DK19" s="256"/>
      <c r="DL19" s="256"/>
      <c r="DM19" s="256"/>
      <c r="DN19" s="256"/>
      <c r="DO19" s="257"/>
      <c r="DP19" s="335">
        <f>'стр.2'!DB61</f>
        <v>1287396</v>
      </c>
      <c r="DQ19" s="336"/>
      <c r="DR19" s="336"/>
      <c r="DS19" s="336"/>
      <c r="DT19" s="336"/>
      <c r="DU19" s="336"/>
      <c r="DV19" s="336"/>
      <c r="DW19" s="336"/>
      <c r="DX19" s="336"/>
      <c r="DY19" s="336"/>
      <c r="DZ19" s="336"/>
      <c r="EA19" s="336"/>
      <c r="EB19" s="337"/>
      <c r="EC19" s="335">
        <f>'стр.2'!DC61</f>
        <v>804197</v>
      </c>
      <c r="ED19" s="336"/>
      <c r="EE19" s="336"/>
      <c r="EF19" s="336"/>
      <c r="EG19" s="336"/>
      <c r="EH19" s="336"/>
      <c r="EI19" s="336"/>
      <c r="EJ19" s="336"/>
      <c r="EK19" s="336"/>
      <c r="EL19" s="336"/>
      <c r="EM19" s="336"/>
      <c r="EN19" s="336"/>
      <c r="EO19" s="337"/>
      <c r="EP19" s="335">
        <f>'стр.2'!DD61</f>
        <v>804197</v>
      </c>
      <c r="EQ19" s="336"/>
      <c r="ER19" s="336"/>
      <c r="ES19" s="336"/>
      <c r="ET19" s="336"/>
      <c r="EU19" s="336"/>
      <c r="EV19" s="336"/>
      <c r="EW19" s="336"/>
      <c r="EX19" s="336"/>
      <c r="EY19" s="336"/>
      <c r="EZ19" s="336"/>
      <c r="FA19" s="336"/>
      <c r="FB19" s="337"/>
      <c r="FC19" s="335"/>
      <c r="FD19" s="336"/>
      <c r="FE19" s="336"/>
      <c r="FF19" s="336"/>
      <c r="FG19" s="336"/>
      <c r="FH19" s="336"/>
      <c r="FI19" s="336"/>
      <c r="FJ19" s="336"/>
      <c r="FK19" s="336"/>
      <c r="FL19" s="336"/>
      <c r="FM19" s="336"/>
      <c r="FN19" s="336"/>
      <c r="FO19" s="338"/>
    </row>
    <row r="20" spans="1:171" ht="12.75" customHeight="1">
      <c r="A20" s="258"/>
      <c r="B20" s="256"/>
      <c r="C20" s="256"/>
      <c r="D20" s="256"/>
      <c r="E20" s="256"/>
      <c r="F20" s="256"/>
      <c r="G20" s="256"/>
      <c r="H20" s="257"/>
      <c r="I20" s="339" t="s">
        <v>457</v>
      </c>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255" t="s">
        <v>443</v>
      </c>
      <c r="CO20" s="256"/>
      <c r="CP20" s="256"/>
      <c r="CQ20" s="256"/>
      <c r="CR20" s="256"/>
      <c r="CS20" s="256"/>
      <c r="CT20" s="256"/>
      <c r="CU20" s="257"/>
      <c r="CV20" s="258" t="s">
        <v>34</v>
      </c>
      <c r="CW20" s="256"/>
      <c r="CX20" s="256"/>
      <c r="CY20" s="256"/>
      <c r="CZ20" s="256"/>
      <c r="DA20" s="256"/>
      <c r="DB20" s="256"/>
      <c r="DC20" s="256"/>
      <c r="DD20" s="256"/>
      <c r="DE20" s="257"/>
      <c r="DF20" s="258" t="s">
        <v>516</v>
      </c>
      <c r="DG20" s="256"/>
      <c r="DH20" s="256"/>
      <c r="DI20" s="256"/>
      <c r="DJ20" s="256"/>
      <c r="DK20" s="256"/>
      <c r="DL20" s="256"/>
      <c r="DM20" s="256"/>
      <c r="DN20" s="256"/>
      <c r="DO20" s="257"/>
      <c r="DP20" s="335">
        <v>1073</v>
      </c>
      <c r="DQ20" s="336"/>
      <c r="DR20" s="336"/>
      <c r="DS20" s="336"/>
      <c r="DT20" s="336"/>
      <c r="DU20" s="336"/>
      <c r="DV20" s="336"/>
      <c r="DW20" s="336"/>
      <c r="DX20" s="336"/>
      <c r="DY20" s="336"/>
      <c r="DZ20" s="336"/>
      <c r="EA20" s="336"/>
      <c r="EB20" s="337"/>
      <c r="EC20" s="335"/>
      <c r="ED20" s="336"/>
      <c r="EE20" s="336"/>
      <c r="EF20" s="336"/>
      <c r="EG20" s="336"/>
      <c r="EH20" s="336"/>
      <c r="EI20" s="336"/>
      <c r="EJ20" s="336"/>
      <c r="EK20" s="336"/>
      <c r="EL20" s="336"/>
      <c r="EM20" s="336"/>
      <c r="EN20" s="336"/>
      <c r="EO20" s="337"/>
      <c r="EP20" s="335"/>
      <c r="EQ20" s="336"/>
      <c r="ER20" s="336"/>
      <c r="ES20" s="336"/>
      <c r="ET20" s="336"/>
      <c r="EU20" s="336"/>
      <c r="EV20" s="336"/>
      <c r="EW20" s="336"/>
      <c r="EX20" s="336"/>
      <c r="EY20" s="336"/>
      <c r="EZ20" s="336"/>
      <c r="FA20" s="336"/>
      <c r="FB20" s="337"/>
      <c r="FC20" s="335"/>
      <c r="FD20" s="336"/>
      <c r="FE20" s="336"/>
      <c r="FF20" s="336"/>
      <c r="FG20" s="336"/>
      <c r="FH20" s="336"/>
      <c r="FI20" s="336"/>
      <c r="FJ20" s="336"/>
      <c r="FK20" s="336"/>
      <c r="FL20" s="336"/>
      <c r="FM20" s="336"/>
      <c r="FN20" s="336"/>
      <c r="FO20" s="338"/>
    </row>
    <row r="21" spans="1:171" ht="12.75" customHeight="1">
      <c r="A21" s="258"/>
      <c r="B21" s="256"/>
      <c r="C21" s="256"/>
      <c r="D21" s="256"/>
      <c r="E21" s="256"/>
      <c r="F21" s="256"/>
      <c r="G21" s="256"/>
      <c r="H21" s="257"/>
      <c r="I21" s="339" t="s">
        <v>459</v>
      </c>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c r="CN21" s="255" t="s">
        <v>454</v>
      </c>
      <c r="CO21" s="256"/>
      <c r="CP21" s="256"/>
      <c r="CQ21" s="256"/>
      <c r="CR21" s="256"/>
      <c r="CS21" s="256"/>
      <c r="CT21" s="256"/>
      <c r="CU21" s="257"/>
      <c r="CV21" s="258" t="s">
        <v>34</v>
      </c>
      <c r="CW21" s="256"/>
      <c r="CX21" s="256"/>
      <c r="CY21" s="256"/>
      <c r="CZ21" s="256"/>
      <c r="DA21" s="256"/>
      <c r="DB21" s="256"/>
      <c r="DC21" s="256"/>
      <c r="DD21" s="256"/>
      <c r="DE21" s="257"/>
      <c r="DF21" s="258" t="s">
        <v>484</v>
      </c>
      <c r="DG21" s="256"/>
      <c r="DH21" s="256"/>
      <c r="DI21" s="256"/>
      <c r="DJ21" s="256"/>
      <c r="DK21" s="256"/>
      <c r="DL21" s="256"/>
      <c r="DM21" s="256"/>
      <c r="DN21" s="256"/>
      <c r="DO21" s="257"/>
      <c r="DP21" s="335">
        <v>1500</v>
      </c>
      <c r="DQ21" s="336"/>
      <c r="DR21" s="336"/>
      <c r="DS21" s="336"/>
      <c r="DT21" s="336"/>
      <c r="DU21" s="336"/>
      <c r="DV21" s="336"/>
      <c r="DW21" s="336"/>
      <c r="DX21" s="336"/>
      <c r="DY21" s="336"/>
      <c r="DZ21" s="336"/>
      <c r="EA21" s="336"/>
      <c r="EB21" s="337"/>
      <c r="EC21" s="335">
        <v>1500</v>
      </c>
      <c r="ED21" s="336"/>
      <c r="EE21" s="336"/>
      <c r="EF21" s="336"/>
      <c r="EG21" s="336"/>
      <c r="EH21" s="336"/>
      <c r="EI21" s="336"/>
      <c r="EJ21" s="336"/>
      <c r="EK21" s="336"/>
      <c r="EL21" s="336"/>
      <c r="EM21" s="336"/>
      <c r="EN21" s="336"/>
      <c r="EO21" s="337"/>
      <c r="EP21" s="335">
        <v>1500</v>
      </c>
      <c r="EQ21" s="336"/>
      <c r="ER21" s="336"/>
      <c r="ES21" s="336"/>
      <c r="ET21" s="336"/>
      <c r="EU21" s="336"/>
      <c r="EV21" s="336"/>
      <c r="EW21" s="336"/>
      <c r="EX21" s="336"/>
      <c r="EY21" s="336"/>
      <c r="EZ21" s="336"/>
      <c r="FA21" s="336"/>
      <c r="FB21" s="337"/>
      <c r="FC21" s="335"/>
      <c r="FD21" s="336"/>
      <c r="FE21" s="336"/>
      <c r="FF21" s="336"/>
      <c r="FG21" s="336"/>
      <c r="FH21" s="336"/>
      <c r="FI21" s="336"/>
      <c r="FJ21" s="336"/>
      <c r="FK21" s="336"/>
      <c r="FL21" s="336"/>
      <c r="FM21" s="336"/>
      <c r="FN21" s="336"/>
      <c r="FO21" s="338"/>
    </row>
    <row r="22" spans="1:171" ht="12.75" customHeight="1">
      <c r="A22" s="258"/>
      <c r="B22" s="256"/>
      <c r="C22" s="256"/>
      <c r="D22" s="256"/>
      <c r="E22" s="256"/>
      <c r="F22" s="256"/>
      <c r="G22" s="256"/>
      <c r="H22" s="257"/>
      <c r="I22" s="339" t="s">
        <v>458</v>
      </c>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340"/>
      <c r="CB22" s="340"/>
      <c r="CC22" s="340"/>
      <c r="CD22" s="340"/>
      <c r="CE22" s="340"/>
      <c r="CF22" s="340"/>
      <c r="CG22" s="340"/>
      <c r="CH22" s="340"/>
      <c r="CI22" s="340"/>
      <c r="CJ22" s="340"/>
      <c r="CK22" s="340"/>
      <c r="CL22" s="340"/>
      <c r="CM22" s="340"/>
      <c r="CN22" s="255" t="s">
        <v>455</v>
      </c>
      <c r="CO22" s="256"/>
      <c r="CP22" s="256"/>
      <c r="CQ22" s="256"/>
      <c r="CR22" s="256"/>
      <c r="CS22" s="256"/>
      <c r="CT22" s="256"/>
      <c r="CU22" s="257"/>
      <c r="CV22" s="258" t="s">
        <v>34</v>
      </c>
      <c r="CW22" s="256"/>
      <c r="CX22" s="256"/>
      <c r="CY22" s="256"/>
      <c r="CZ22" s="256"/>
      <c r="DA22" s="256"/>
      <c r="DB22" s="256"/>
      <c r="DC22" s="256"/>
      <c r="DD22" s="256"/>
      <c r="DE22" s="257"/>
      <c r="DF22" s="258" t="s">
        <v>486</v>
      </c>
      <c r="DG22" s="256"/>
      <c r="DH22" s="256"/>
      <c r="DI22" s="256"/>
      <c r="DJ22" s="256"/>
      <c r="DK22" s="256"/>
      <c r="DL22" s="256"/>
      <c r="DM22" s="256"/>
      <c r="DN22" s="256"/>
      <c r="DO22" s="257"/>
      <c r="DP22" s="335">
        <v>199584</v>
      </c>
      <c r="DQ22" s="336"/>
      <c r="DR22" s="336"/>
      <c r="DS22" s="336"/>
      <c r="DT22" s="336"/>
      <c r="DU22" s="336"/>
      <c r="DV22" s="336"/>
      <c r="DW22" s="336"/>
      <c r="DX22" s="336"/>
      <c r="DY22" s="336"/>
      <c r="DZ22" s="336"/>
      <c r="EA22" s="336"/>
      <c r="EB22" s="337"/>
      <c r="EC22" s="335">
        <v>199584</v>
      </c>
      <c r="ED22" s="336"/>
      <c r="EE22" s="336"/>
      <c r="EF22" s="336"/>
      <c r="EG22" s="336"/>
      <c r="EH22" s="336"/>
      <c r="EI22" s="336"/>
      <c r="EJ22" s="336"/>
      <c r="EK22" s="336"/>
      <c r="EL22" s="336"/>
      <c r="EM22" s="336"/>
      <c r="EN22" s="336"/>
      <c r="EO22" s="337"/>
      <c r="EP22" s="335">
        <v>199584</v>
      </c>
      <c r="EQ22" s="336"/>
      <c r="ER22" s="336"/>
      <c r="ES22" s="336"/>
      <c r="ET22" s="336"/>
      <c r="EU22" s="336"/>
      <c r="EV22" s="336"/>
      <c r="EW22" s="336"/>
      <c r="EX22" s="336"/>
      <c r="EY22" s="336"/>
      <c r="EZ22" s="336"/>
      <c r="FA22" s="336"/>
      <c r="FB22" s="337"/>
      <c r="FC22" s="335"/>
      <c r="FD22" s="336"/>
      <c r="FE22" s="336"/>
      <c r="FF22" s="336"/>
      <c r="FG22" s="336"/>
      <c r="FH22" s="336"/>
      <c r="FI22" s="336"/>
      <c r="FJ22" s="336"/>
      <c r="FK22" s="336"/>
      <c r="FL22" s="336"/>
      <c r="FM22" s="336"/>
      <c r="FN22" s="336"/>
      <c r="FO22" s="338"/>
    </row>
    <row r="23" spans="1:171" ht="12.75" customHeight="1">
      <c r="A23" s="258"/>
      <c r="B23" s="256"/>
      <c r="C23" s="256"/>
      <c r="D23" s="256"/>
      <c r="E23" s="256"/>
      <c r="F23" s="256"/>
      <c r="G23" s="256"/>
      <c r="H23" s="257"/>
      <c r="I23" s="339" t="s">
        <v>492</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255" t="s">
        <v>456</v>
      </c>
      <c r="CO23" s="256"/>
      <c r="CP23" s="256"/>
      <c r="CQ23" s="256"/>
      <c r="CR23" s="256"/>
      <c r="CS23" s="256"/>
      <c r="CT23" s="256"/>
      <c r="CU23" s="257"/>
      <c r="CV23" s="258" t="s">
        <v>34</v>
      </c>
      <c r="CW23" s="256"/>
      <c r="CX23" s="256"/>
      <c r="CY23" s="256"/>
      <c r="CZ23" s="256"/>
      <c r="DA23" s="256"/>
      <c r="DB23" s="256"/>
      <c r="DC23" s="256"/>
      <c r="DD23" s="256"/>
      <c r="DE23" s="257"/>
      <c r="DF23" s="258" t="s">
        <v>479</v>
      </c>
      <c r="DG23" s="256"/>
      <c r="DH23" s="256"/>
      <c r="DI23" s="256"/>
      <c r="DJ23" s="256"/>
      <c r="DK23" s="256"/>
      <c r="DL23" s="256"/>
      <c r="DM23" s="256"/>
      <c r="DN23" s="256"/>
      <c r="DO23" s="257"/>
      <c r="DP23" s="335">
        <v>2172</v>
      </c>
      <c r="DQ23" s="336"/>
      <c r="DR23" s="336"/>
      <c r="DS23" s="336"/>
      <c r="DT23" s="336"/>
      <c r="DU23" s="336"/>
      <c r="DV23" s="336"/>
      <c r="DW23" s="336"/>
      <c r="DX23" s="336"/>
      <c r="DY23" s="336"/>
      <c r="DZ23" s="336"/>
      <c r="EA23" s="336"/>
      <c r="EB23" s="337"/>
      <c r="EC23" s="335">
        <v>2172</v>
      </c>
      <c r="ED23" s="336"/>
      <c r="EE23" s="336"/>
      <c r="EF23" s="336"/>
      <c r="EG23" s="336"/>
      <c r="EH23" s="336"/>
      <c r="EI23" s="336"/>
      <c r="EJ23" s="336"/>
      <c r="EK23" s="336"/>
      <c r="EL23" s="336"/>
      <c r="EM23" s="336"/>
      <c r="EN23" s="336"/>
      <c r="EO23" s="337"/>
      <c r="EP23" s="335">
        <v>2172</v>
      </c>
      <c r="EQ23" s="336"/>
      <c r="ER23" s="336"/>
      <c r="ES23" s="336"/>
      <c r="ET23" s="336"/>
      <c r="EU23" s="336"/>
      <c r="EV23" s="336"/>
      <c r="EW23" s="336"/>
      <c r="EX23" s="336"/>
      <c r="EY23" s="336"/>
      <c r="EZ23" s="336"/>
      <c r="FA23" s="336"/>
      <c r="FB23" s="337"/>
      <c r="FC23" s="335"/>
      <c r="FD23" s="336"/>
      <c r="FE23" s="336"/>
      <c r="FF23" s="336"/>
      <c r="FG23" s="336"/>
      <c r="FH23" s="336"/>
      <c r="FI23" s="336"/>
      <c r="FJ23" s="336"/>
      <c r="FK23" s="336"/>
      <c r="FL23" s="336"/>
      <c r="FM23" s="336"/>
      <c r="FN23" s="336"/>
      <c r="FO23" s="338"/>
    </row>
    <row r="24" spans="1:171" ht="12.75" customHeight="1">
      <c r="A24" s="258"/>
      <c r="B24" s="256"/>
      <c r="C24" s="256"/>
      <c r="D24" s="256"/>
      <c r="E24" s="256"/>
      <c r="F24" s="256"/>
      <c r="G24" s="256"/>
      <c r="H24" s="257"/>
      <c r="I24" s="339" t="s">
        <v>493</v>
      </c>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c r="CN24" s="255" t="s">
        <v>487</v>
      </c>
      <c r="CO24" s="256"/>
      <c r="CP24" s="256"/>
      <c r="CQ24" s="256"/>
      <c r="CR24" s="256"/>
      <c r="CS24" s="256"/>
      <c r="CT24" s="256"/>
      <c r="CU24" s="257"/>
      <c r="CV24" s="258" t="s">
        <v>34</v>
      </c>
      <c r="CW24" s="256"/>
      <c r="CX24" s="256"/>
      <c r="CY24" s="256"/>
      <c r="CZ24" s="256"/>
      <c r="DA24" s="256"/>
      <c r="DB24" s="256"/>
      <c r="DC24" s="256"/>
      <c r="DD24" s="256"/>
      <c r="DE24" s="257"/>
      <c r="DF24" s="258" t="s">
        <v>517</v>
      </c>
      <c r="DG24" s="256"/>
      <c r="DH24" s="256"/>
      <c r="DI24" s="256"/>
      <c r="DJ24" s="256"/>
      <c r="DK24" s="256"/>
      <c r="DL24" s="256"/>
      <c r="DM24" s="256"/>
      <c r="DN24" s="256"/>
      <c r="DO24" s="257"/>
      <c r="DP24" s="335">
        <f>49838+40000</f>
        <v>89838</v>
      </c>
      <c r="DQ24" s="336"/>
      <c r="DR24" s="336"/>
      <c r="DS24" s="336"/>
      <c r="DT24" s="336"/>
      <c r="DU24" s="336"/>
      <c r="DV24" s="336"/>
      <c r="DW24" s="336"/>
      <c r="DX24" s="336"/>
      <c r="DY24" s="336"/>
      <c r="DZ24" s="336"/>
      <c r="EA24" s="336"/>
      <c r="EB24" s="337"/>
      <c r="EC24" s="335"/>
      <c r="ED24" s="336"/>
      <c r="EE24" s="336"/>
      <c r="EF24" s="336"/>
      <c r="EG24" s="336"/>
      <c r="EH24" s="336"/>
      <c r="EI24" s="336"/>
      <c r="EJ24" s="336"/>
      <c r="EK24" s="336"/>
      <c r="EL24" s="336"/>
      <c r="EM24" s="336"/>
      <c r="EN24" s="336"/>
      <c r="EO24" s="337"/>
      <c r="EP24" s="335"/>
      <c r="EQ24" s="336"/>
      <c r="ER24" s="336"/>
      <c r="ES24" s="336"/>
      <c r="ET24" s="336"/>
      <c r="EU24" s="336"/>
      <c r="EV24" s="336"/>
      <c r="EW24" s="336"/>
      <c r="EX24" s="336"/>
      <c r="EY24" s="336"/>
      <c r="EZ24" s="336"/>
      <c r="FA24" s="336"/>
      <c r="FB24" s="337"/>
      <c r="FC24" s="335"/>
      <c r="FD24" s="336"/>
      <c r="FE24" s="336"/>
      <c r="FF24" s="336"/>
      <c r="FG24" s="336"/>
      <c r="FH24" s="336"/>
      <c r="FI24" s="336"/>
      <c r="FJ24" s="336"/>
      <c r="FK24" s="336"/>
      <c r="FL24" s="336"/>
      <c r="FM24" s="336"/>
      <c r="FN24" s="336"/>
      <c r="FO24" s="338"/>
    </row>
    <row r="25" spans="1:171" ht="12.75" customHeight="1">
      <c r="A25" s="258"/>
      <c r="B25" s="256"/>
      <c r="C25" s="256"/>
      <c r="D25" s="256"/>
      <c r="E25" s="256"/>
      <c r="F25" s="256"/>
      <c r="G25" s="256"/>
      <c r="H25" s="257"/>
      <c r="I25" s="339" t="s">
        <v>460</v>
      </c>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40"/>
      <c r="CE25" s="340"/>
      <c r="CF25" s="340"/>
      <c r="CG25" s="340"/>
      <c r="CH25" s="340"/>
      <c r="CI25" s="340"/>
      <c r="CJ25" s="340"/>
      <c r="CK25" s="340"/>
      <c r="CL25" s="340"/>
      <c r="CM25" s="340"/>
      <c r="CN25" s="255" t="s">
        <v>488</v>
      </c>
      <c r="CO25" s="256"/>
      <c r="CP25" s="256"/>
      <c r="CQ25" s="256"/>
      <c r="CR25" s="256"/>
      <c r="CS25" s="256"/>
      <c r="CT25" s="256"/>
      <c r="CU25" s="257"/>
      <c r="CV25" s="258" t="s">
        <v>34</v>
      </c>
      <c r="CW25" s="256"/>
      <c r="CX25" s="256"/>
      <c r="CY25" s="256"/>
      <c r="CZ25" s="256"/>
      <c r="DA25" s="256"/>
      <c r="DB25" s="256"/>
      <c r="DC25" s="256"/>
      <c r="DD25" s="256"/>
      <c r="DE25" s="257"/>
      <c r="DF25" s="258" t="s">
        <v>479</v>
      </c>
      <c r="DG25" s="256"/>
      <c r="DH25" s="256"/>
      <c r="DI25" s="256"/>
      <c r="DJ25" s="256"/>
      <c r="DK25" s="256"/>
      <c r="DL25" s="256"/>
      <c r="DM25" s="256"/>
      <c r="DN25" s="256"/>
      <c r="DO25" s="257"/>
      <c r="DP25" s="335">
        <f>284912-73759</f>
        <v>211153</v>
      </c>
      <c r="DQ25" s="336"/>
      <c r="DR25" s="336"/>
      <c r="DS25" s="336"/>
      <c r="DT25" s="336"/>
      <c r="DU25" s="336"/>
      <c r="DV25" s="336"/>
      <c r="DW25" s="336"/>
      <c r="DX25" s="336"/>
      <c r="DY25" s="336"/>
      <c r="DZ25" s="336"/>
      <c r="EA25" s="336"/>
      <c r="EB25" s="337"/>
      <c r="EC25" s="335">
        <v>284912</v>
      </c>
      <c r="ED25" s="336"/>
      <c r="EE25" s="336"/>
      <c r="EF25" s="336"/>
      <c r="EG25" s="336"/>
      <c r="EH25" s="336"/>
      <c r="EI25" s="336"/>
      <c r="EJ25" s="336"/>
      <c r="EK25" s="336"/>
      <c r="EL25" s="336"/>
      <c r="EM25" s="336"/>
      <c r="EN25" s="336"/>
      <c r="EO25" s="337"/>
      <c r="EP25" s="335">
        <v>284912</v>
      </c>
      <c r="EQ25" s="336"/>
      <c r="ER25" s="336"/>
      <c r="ES25" s="336"/>
      <c r="ET25" s="336"/>
      <c r="EU25" s="336"/>
      <c r="EV25" s="336"/>
      <c r="EW25" s="336"/>
      <c r="EX25" s="336"/>
      <c r="EY25" s="336"/>
      <c r="EZ25" s="336"/>
      <c r="FA25" s="336"/>
      <c r="FB25" s="337"/>
      <c r="FC25" s="335"/>
      <c r="FD25" s="336"/>
      <c r="FE25" s="336"/>
      <c r="FF25" s="336"/>
      <c r="FG25" s="336"/>
      <c r="FH25" s="336"/>
      <c r="FI25" s="336"/>
      <c r="FJ25" s="336"/>
      <c r="FK25" s="336"/>
      <c r="FL25" s="336"/>
      <c r="FM25" s="336"/>
      <c r="FN25" s="336"/>
      <c r="FO25" s="338"/>
    </row>
    <row r="26" spans="1:171" ht="12.75" customHeight="1">
      <c r="A26" s="258"/>
      <c r="B26" s="256"/>
      <c r="C26" s="256"/>
      <c r="D26" s="256"/>
      <c r="E26" s="256"/>
      <c r="F26" s="256"/>
      <c r="G26" s="256"/>
      <c r="H26" s="257"/>
      <c r="I26" s="339" t="s">
        <v>494</v>
      </c>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40"/>
      <c r="CF26" s="340"/>
      <c r="CG26" s="340"/>
      <c r="CH26" s="340"/>
      <c r="CI26" s="340"/>
      <c r="CJ26" s="340"/>
      <c r="CK26" s="340"/>
      <c r="CL26" s="340"/>
      <c r="CM26" s="340"/>
      <c r="CN26" s="255" t="s">
        <v>489</v>
      </c>
      <c r="CO26" s="256"/>
      <c r="CP26" s="256"/>
      <c r="CQ26" s="256"/>
      <c r="CR26" s="256"/>
      <c r="CS26" s="256"/>
      <c r="CT26" s="256"/>
      <c r="CU26" s="257"/>
      <c r="CV26" s="258" t="s">
        <v>34</v>
      </c>
      <c r="CW26" s="256"/>
      <c r="CX26" s="256"/>
      <c r="CY26" s="256"/>
      <c r="CZ26" s="256"/>
      <c r="DA26" s="256"/>
      <c r="DB26" s="256"/>
      <c r="DC26" s="256"/>
      <c r="DD26" s="256"/>
      <c r="DE26" s="257"/>
      <c r="DF26" s="258" t="s">
        <v>479</v>
      </c>
      <c r="DG26" s="256"/>
      <c r="DH26" s="256"/>
      <c r="DI26" s="256"/>
      <c r="DJ26" s="256"/>
      <c r="DK26" s="256"/>
      <c r="DL26" s="256"/>
      <c r="DM26" s="256"/>
      <c r="DN26" s="256"/>
      <c r="DO26" s="257"/>
      <c r="DP26" s="335">
        <f>149287-17301</f>
        <v>131986</v>
      </c>
      <c r="DQ26" s="336"/>
      <c r="DR26" s="336"/>
      <c r="DS26" s="336"/>
      <c r="DT26" s="336"/>
      <c r="DU26" s="336"/>
      <c r="DV26" s="336"/>
      <c r="DW26" s="336"/>
      <c r="DX26" s="336"/>
      <c r="DY26" s="336"/>
      <c r="DZ26" s="336"/>
      <c r="EA26" s="336"/>
      <c r="EB26" s="337"/>
      <c r="EC26" s="335">
        <v>149287</v>
      </c>
      <c r="ED26" s="336"/>
      <c r="EE26" s="336"/>
      <c r="EF26" s="336"/>
      <c r="EG26" s="336"/>
      <c r="EH26" s="336"/>
      <c r="EI26" s="336"/>
      <c r="EJ26" s="336"/>
      <c r="EK26" s="336"/>
      <c r="EL26" s="336"/>
      <c r="EM26" s="336"/>
      <c r="EN26" s="336"/>
      <c r="EO26" s="337"/>
      <c r="EP26" s="335">
        <v>149287</v>
      </c>
      <c r="EQ26" s="336"/>
      <c r="ER26" s="336"/>
      <c r="ES26" s="336"/>
      <c r="ET26" s="336"/>
      <c r="EU26" s="336"/>
      <c r="EV26" s="336"/>
      <c r="EW26" s="336"/>
      <c r="EX26" s="336"/>
      <c r="EY26" s="336"/>
      <c r="EZ26" s="336"/>
      <c r="FA26" s="336"/>
      <c r="FB26" s="337"/>
      <c r="FC26" s="335"/>
      <c r="FD26" s="336"/>
      <c r="FE26" s="336"/>
      <c r="FF26" s="336"/>
      <c r="FG26" s="336"/>
      <c r="FH26" s="336"/>
      <c r="FI26" s="336"/>
      <c r="FJ26" s="336"/>
      <c r="FK26" s="336"/>
      <c r="FL26" s="336"/>
      <c r="FM26" s="336"/>
      <c r="FN26" s="336"/>
      <c r="FO26" s="338"/>
    </row>
    <row r="27" spans="1:171" ht="12.75" customHeight="1">
      <c r="A27" s="258"/>
      <c r="B27" s="256"/>
      <c r="C27" s="256"/>
      <c r="D27" s="256"/>
      <c r="E27" s="256"/>
      <c r="F27" s="256"/>
      <c r="G27" s="256"/>
      <c r="H27" s="257"/>
      <c r="I27" s="339" t="s">
        <v>495</v>
      </c>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255" t="s">
        <v>490</v>
      </c>
      <c r="CO27" s="256"/>
      <c r="CP27" s="256"/>
      <c r="CQ27" s="256"/>
      <c r="CR27" s="256"/>
      <c r="CS27" s="256"/>
      <c r="CT27" s="256"/>
      <c r="CU27" s="257"/>
      <c r="CV27" s="258" t="s">
        <v>34</v>
      </c>
      <c r="CW27" s="256"/>
      <c r="CX27" s="256"/>
      <c r="CY27" s="256"/>
      <c r="CZ27" s="256"/>
      <c r="DA27" s="256"/>
      <c r="DB27" s="256"/>
      <c r="DC27" s="256"/>
      <c r="DD27" s="256"/>
      <c r="DE27" s="257"/>
      <c r="DF27" s="258" t="s">
        <v>491</v>
      </c>
      <c r="DG27" s="256"/>
      <c r="DH27" s="256"/>
      <c r="DI27" s="256"/>
      <c r="DJ27" s="256"/>
      <c r="DK27" s="256"/>
      <c r="DL27" s="256"/>
      <c r="DM27" s="256"/>
      <c r="DN27" s="256"/>
      <c r="DO27" s="257"/>
      <c r="DP27" s="335">
        <f>70560+5880-27300</f>
        <v>49140</v>
      </c>
      <c r="DQ27" s="336"/>
      <c r="DR27" s="336"/>
      <c r="DS27" s="336"/>
      <c r="DT27" s="336"/>
      <c r="DU27" s="336"/>
      <c r="DV27" s="336"/>
      <c r="DW27" s="336"/>
      <c r="DX27" s="336"/>
      <c r="DY27" s="336"/>
      <c r="DZ27" s="336"/>
      <c r="EA27" s="336"/>
      <c r="EB27" s="337"/>
      <c r="EC27" s="335">
        <v>70560</v>
      </c>
      <c r="ED27" s="336"/>
      <c r="EE27" s="336"/>
      <c r="EF27" s="336"/>
      <c r="EG27" s="336"/>
      <c r="EH27" s="336"/>
      <c r="EI27" s="336"/>
      <c r="EJ27" s="336"/>
      <c r="EK27" s="336"/>
      <c r="EL27" s="336"/>
      <c r="EM27" s="336"/>
      <c r="EN27" s="336"/>
      <c r="EO27" s="337"/>
      <c r="EP27" s="335">
        <v>70560</v>
      </c>
      <c r="EQ27" s="336"/>
      <c r="ER27" s="336"/>
      <c r="ES27" s="336"/>
      <c r="ET27" s="336"/>
      <c r="EU27" s="336"/>
      <c r="EV27" s="336"/>
      <c r="EW27" s="336"/>
      <c r="EX27" s="336"/>
      <c r="EY27" s="336"/>
      <c r="EZ27" s="336"/>
      <c r="FA27" s="336"/>
      <c r="FB27" s="337"/>
      <c r="FC27" s="335"/>
      <c r="FD27" s="336"/>
      <c r="FE27" s="336"/>
      <c r="FF27" s="336"/>
      <c r="FG27" s="336"/>
      <c r="FH27" s="336"/>
      <c r="FI27" s="336"/>
      <c r="FJ27" s="336"/>
      <c r="FK27" s="336"/>
      <c r="FL27" s="336"/>
      <c r="FM27" s="336"/>
      <c r="FN27" s="336"/>
      <c r="FO27" s="338"/>
    </row>
    <row r="28" spans="1:171" ht="12.75" customHeight="1">
      <c r="A28" s="258"/>
      <c r="B28" s="256"/>
      <c r="C28" s="256"/>
      <c r="D28" s="256"/>
      <c r="E28" s="256"/>
      <c r="F28" s="256"/>
      <c r="G28" s="256"/>
      <c r="H28" s="257"/>
      <c r="I28" s="339" t="s">
        <v>512</v>
      </c>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255" t="s">
        <v>514</v>
      </c>
      <c r="CO28" s="256"/>
      <c r="CP28" s="256"/>
      <c r="CQ28" s="256"/>
      <c r="CR28" s="256"/>
      <c r="CS28" s="256"/>
      <c r="CT28" s="256"/>
      <c r="CU28" s="257"/>
      <c r="CV28" s="258" t="s">
        <v>34</v>
      </c>
      <c r="CW28" s="256"/>
      <c r="CX28" s="256"/>
      <c r="CY28" s="256"/>
      <c r="CZ28" s="256"/>
      <c r="DA28" s="256"/>
      <c r="DB28" s="256"/>
      <c r="DC28" s="256"/>
      <c r="DD28" s="256"/>
      <c r="DE28" s="257"/>
      <c r="DF28" s="258" t="s">
        <v>513</v>
      </c>
      <c r="DG28" s="256"/>
      <c r="DH28" s="256"/>
      <c r="DI28" s="256"/>
      <c r="DJ28" s="256"/>
      <c r="DK28" s="256"/>
      <c r="DL28" s="256"/>
      <c r="DM28" s="256"/>
      <c r="DN28" s="256"/>
      <c r="DO28" s="257"/>
      <c r="DP28" s="335">
        <f>1900+3800</f>
        <v>5700</v>
      </c>
      <c r="DQ28" s="336"/>
      <c r="DR28" s="336"/>
      <c r="DS28" s="336"/>
      <c r="DT28" s="336"/>
      <c r="DU28" s="336"/>
      <c r="DV28" s="336"/>
      <c r="DW28" s="336"/>
      <c r="DX28" s="336"/>
      <c r="DY28" s="336"/>
      <c r="DZ28" s="336"/>
      <c r="EA28" s="336"/>
      <c r="EB28" s="337"/>
      <c r="EC28" s="335">
        <v>0</v>
      </c>
      <c r="ED28" s="336"/>
      <c r="EE28" s="336"/>
      <c r="EF28" s="336"/>
      <c r="EG28" s="336"/>
      <c r="EH28" s="336"/>
      <c r="EI28" s="336"/>
      <c r="EJ28" s="336"/>
      <c r="EK28" s="336"/>
      <c r="EL28" s="336"/>
      <c r="EM28" s="336"/>
      <c r="EN28" s="336"/>
      <c r="EO28" s="337"/>
      <c r="EP28" s="335">
        <v>0</v>
      </c>
      <c r="EQ28" s="336"/>
      <c r="ER28" s="336"/>
      <c r="ES28" s="336"/>
      <c r="ET28" s="336"/>
      <c r="EU28" s="336"/>
      <c r="EV28" s="336"/>
      <c r="EW28" s="336"/>
      <c r="EX28" s="336"/>
      <c r="EY28" s="336"/>
      <c r="EZ28" s="336"/>
      <c r="FA28" s="336"/>
      <c r="FB28" s="337"/>
      <c r="FC28" s="335"/>
      <c r="FD28" s="336"/>
      <c r="FE28" s="336"/>
      <c r="FF28" s="336"/>
      <c r="FG28" s="336"/>
      <c r="FH28" s="336"/>
      <c r="FI28" s="336"/>
      <c r="FJ28" s="336"/>
      <c r="FK28" s="336"/>
      <c r="FL28" s="336"/>
      <c r="FM28" s="336"/>
      <c r="FN28" s="336"/>
      <c r="FO28" s="338"/>
    </row>
    <row r="29" spans="1:171" ht="12.75" customHeight="1">
      <c r="A29" s="258"/>
      <c r="B29" s="256"/>
      <c r="C29" s="256"/>
      <c r="D29" s="256"/>
      <c r="E29" s="256"/>
      <c r="F29" s="256"/>
      <c r="G29" s="256"/>
      <c r="H29" s="257"/>
      <c r="I29" s="339" t="s">
        <v>520</v>
      </c>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c r="BM29" s="340"/>
      <c r="BN29" s="340"/>
      <c r="BO29" s="340"/>
      <c r="BP29" s="340"/>
      <c r="BQ29" s="340"/>
      <c r="BR29" s="340"/>
      <c r="BS29" s="340"/>
      <c r="BT29" s="340"/>
      <c r="BU29" s="340"/>
      <c r="BV29" s="340"/>
      <c r="BW29" s="340"/>
      <c r="BX29" s="340"/>
      <c r="BY29" s="340"/>
      <c r="BZ29" s="340"/>
      <c r="CA29" s="340"/>
      <c r="CB29" s="340"/>
      <c r="CC29" s="340"/>
      <c r="CD29" s="340"/>
      <c r="CE29" s="340"/>
      <c r="CF29" s="340"/>
      <c r="CG29" s="340"/>
      <c r="CH29" s="340"/>
      <c r="CI29" s="340"/>
      <c r="CJ29" s="340"/>
      <c r="CK29" s="340"/>
      <c r="CL29" s="340"/>
      <c r="CM29" s="340"/>
      <c r="CN29" s="255" t="s">
        <v>518</v>
      </c>
      <c r="CO29" s="256"/>
      <c r="CP29" s="256"/>
      <c r="CQ29" s="256"/>
      <c r="CR29" s="256"/>
      <c r="CS29" s="256"/>
      <c r="CT29" s="256"/>
      <c r="CU29" s="257"/>
      <c r="CV29" s="258" t="s">
        <v>34</v>
      </c>
      <c r="CW29" s="256"/>
      <c r="CX29" s="256"/>
      <c r="CY29" s="256"/>
      <c r="CZ29" s="256"/>
      <c r="DA29" s="256"/>
      <c r="DB29" s="256"/>
      <c r="DC29" s="256"/>
      <c r="DD29" s="256"/>
      <c r="DE29" s="257"/>
      <c r="DF29" s="258" t="s">
        <v>519</v>
      </c>
      <c r="DG29" s="256"/>
      <c r="DH29" s="256"/>
      <c r="DI29" s="256"/>
      <c r="DJ29" s="256"/>
      <c r="DK29" s="256"/>
      <c r="DL29" s="256"/>
      <c r="DM29" s="256"/>
      <c r="DN29" s="256"/>
      <c r="DO29" s="257"/>
      <c r="DP29" s="335">
        <v>6300</v>
      </c>
      <c r="DQ29" s="336"/>
      <c r="DR29" s="336"/>
      <c r="DS29" s="336"/>
      <c r="DT29" s="336"/>
      <c r="DU29" s="336"/>
      <c r="DV29" s="336"/>
      <c r="DW29" s="336"/>
      <c r="DX29" s="336"/>
      <c r="DY29" s="336"/>
      <c r="DZ29" s="336"/>
      <c r="EA29" s="336"/>
      <c r="EB29" s="337"/>
      <c r="EC29" s="335">
        <v>0</v>
      </c>
      <c r="ED29" s="336"/>
      <c r="EE29" s="336"/>
      <c r="EF29" s="336"/>
      <c r="EG29" s="336"/>
      <c r="EH29" s="336"/>
      <c r="EI29" s="336"/>
      <c r="EJ29" s="336"/>
      <c r="EK29" s="336"/>
      <c r="EL29" s="336"/>
      <c r="EM29" s="336"/>
      <c r="EN29" s="336"/>
      <c r="EO29" s="337"/>
      <c r="EP29" s="335">
        <v>0</v>
      </c>
      <c r="EQ29" s="336"/>
      <c r="ER29" s="336"/>
      <c r="ES29" s="336"/>
      <c r="ET29" s="336"/>
      <c r="EU29" s="336"/>
      <c r="EV29" s="336"/>
      <c r="EW29" s="336"/>
      <c r="EX29" s="336"/>
      <c r="EY29" s="336"/>
      <c r="EZ29" s="336"/>
      <c r="FA29" s="336"/>
      <c r="FB29" s="337"/>
      <c r="FC29" s="335"/>
      <c r="FD29" s="336"/>
      <c r="FE29" s="336"/>
      <c r="FF29" s="336"/>
      <c r="FG29" s="336"/>
      <c r="FH29" s="336"/>
      <c r="FI29" s="336"/>
      <c r="FJ29" s="336"/>
      <c r="FK29" s="336"/>
      <c r="FL29" s="336"/>
      <c r="FM29" s="336"/>
      <c r="FN29" s="336"/>
      <c r="FO29" s="338"/>
    </row>
    <row r="30" spans="1:171" ht="12.75" customHeight="1">
      <c r="A30" s="258"/>
      <c r="B30" s="256"/>
      <c r="C30" s="256"/>
      <c r="D30" s="256"/>
      <c r="E30" s="256"/>
      <c r="F30" s="256"/>
      <c r="G30" s="256"/>
      <c r="H30" s="257"/>
      <c r="I30" s="339" t="s">
        <v>457</v>
      </c>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c r="BM30" s="340"/>
      <c r="BN30" s="340"/>
      <c r="BO30" s="340"/>
      <c r="BP30" s="340"/>
      <c r="BQ30" s="340"/>
      <c r="BR30" s="340"/>
      <c r="BS30" s="340"/>
      <c r="BT30" s="340"/>
      <c r="BU30" s="340"/>
      <c r="BV30" s="340"/>
      <c r="BW30" s="340"/>
      <c r="BX30" s="340"/>
      <c r="BY30" s="340"/>
      <c r="BZ30" s="340"/>
      <c r="CA30" s="340"/>
      <c r="CB30" s="340"/>
      <c r="CC30" s="340"/>
      <c r="CD30" s="340"/>
      <c r="CE30" s="340"/>
      <c r="CF30" s="340"/>
      <c r="CG30" s="340"/>
      <c r="CH30" s="340"/>
      <c r="CI30" s="340"/>
      <c r="CJ30" s="340"/>
      <c r="CK30" s="340"/>
      <c r="CL30" s="340"/>
      <c r="CM30" s="340"/>
      <c r="CN30" s="255" t="s">
        <v>523</v>
      </c>
      <c r="CO30" s="256"/>
      <c r="CP30" s="256"/>
      <c r="CQ30" s="256"/>
      <c r="CR30" s="256"/>
      <c r="CS30" s="256"/>
      <c r="CT30" s="256"/>
      <c r="CU30" s="257"/>
      <c r="CV30" s="258" t="s">
        <v>34</v>
      </c>
      <c r="CW30" s="256"/>
      <c r="CX30" s="256"/>
      <c r="CY30" s="256"/>
      <c r="CZ30" s="256"/>
      <c r="DA30" s="256"/>
      <c r="DB30" s="256"/>
      <c r="DC30" s="256"/>
      <c r="DD30" s="256"/>
      <c r="DE30" s="257"/>
      <c r="DF30" s="258" t="s">
        <v>524</v>
      </c>
      <c r="DG30" s="256"/>
      <c r="DH30" s="256"/>
      <c r="DI30" s="256"/>
      <c r="DJ30" s="256"/>
      <c r="DK30" s="256"/>
      <c r="DL30" s="256"/>
      <c r="DM30" s="256"/>
      <c r="DN30" s="256"/>
      <c r="DO30" s="257"/>
      <c r="DP30" s="335">
        <f>243.04-243.04</f>
        <v>0</v>
      </c>
      <c r="DQ30" s="336"/>
      <c r="DR30" s="336"/>
      <c r="DS30" s="336"/>
      <c r="DT30" s="336"/>
      <c r="DU30" s="336"/>
      <c r="DV30" s="336"/>
      <c r="DW30" s="336"/>
      <c r="DX30" s="336"/>
      <c r="DY30" s="336"/>
      <c r="DZ30" s="336"/>
      <c r="EA30" s="336"/>
      <c r="EB30" s="337"/>
      <c r="EC30" s="335">
        <v>1073</v>
      </c>
      <c r="ED30" s="336"/>
      <c r="EE30" s="336"/>
      <c r="EF30" s="336"/>
      <c r="EG30" s="336"/>
      <c r="EH30" s="336"/>
      <c r="EI30" s="336"/>
      <c r="EJ30" s="336"/>
      <c r="EK30" s="336"/>
      <c r="EL30" s="336"/>
      <c r="EM30" s="336"/>
      <c r="EN30" s="336"/>
      <c r="EO30" s="337"/>
      <c r="EP30" s="335">
        <v>1073</v>
      </c>
      <c r="EQ30" s="336"/>
      <c r="ER30" s="336"/>
      <c r="ES30" s="336"/>
      <c r="ET30" s="336"/>
      <c r="EU30" s="336"/>
      <c r="EV30" s="336"/>
      <c r="EW30" s="336"/>
      <c r="EX30" s="336"/>
      <c r="EY30" s="336"/>
      <c r="EZ30" s="336"/>
      <c r="FA30" s="336"/>
      <c r="FB30" s="337"/>
      <c r="FC30" s="335"/>
      <c r="FD30" s="336"/>
      <c r="FE30" s="336"/>
      <c r="FF30" s="336"/>
      <c r="FG30" s="336"/>
      <c r="FH30" s="336"/>
      <c r="FI30" s="336"/>
      <c r="FJ30" s="336"/>
      <c r="FK30" s="336"/>
      <c r="FL30" s="336"/>
      <c r="FM30" s="336"/>
      <c r="FN30" s="336"/>
      <c r="FO30" s="338"/>
    </row>
    <row r="31" spans="1:171" ht="12.75" customHeight="1">
      <c r="A31" s="258"/>
      <c r="B31" s="256"/>
      <c r="C31" s="256"/>
      <c r="D31" s="256"/>
      <c r="E31" s="256"/>
      <c r="F31" s="256"/>
      <c r="G31" s="256"/>
      <c r="H31" s="257"/>
      <c r="I31" s="339" t="s">
        <v>493</v>
      </c>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c r="CB31" s="340"/>
      <c r="CC31" s="340"/>
      <c r="CD31" s="340"/>
      <c r="CE31" s="340"/>
      <c r="CF31" s="340"/>
      <c r="CG31" s="340"/>
      <c r="CH31" s="340"/>
      <c r="CI31" s="340"/>
      <c r="CJ31" s="340"/>
      <c r="CK31" s="340"/>
      <c r="CL31" s="340"/>
      <c r="CM31" s="340"/>
      <c r="CN31" s="255" t="s">
        <v>525</v>
      </c>
      <c r="CO31" s="256"/>
      <c r="CP31" s="256"/>
      <c r="CQ31" s="256"/>
      <c r="CR31" s="256"/>
      <c r="CS31" s="256"/>
      <c r="CT31" s="256"/>
      <c r="CU31" s="257"/>
      <c r="CV31" s="258" t="s">
        <v>34</v>
      </c>
      <c r="CW31" s="256"/>
      <c r="CX31" s="256"/>
      <c r="CY31" s="256"/>
      <c r="CZ31" s="256"/>
      <c r="DA31" s="256"/>
      <c r="DB31" s="256"/>
      <c r="DC31" s="256"/>
      <c r="DD31" s="256"/>
      <c r="DE31" s="257"/>
      <c r="DF31" s="258" t="s">
        <v>526</v>
      </c>
      <c r="DG31" s="256"/>
      <c r="DH31" s="256"/>
      <c r="DI31" s="256"/>
      <c r="DJ31" s="256"/>
      <c r="DK31" s="256"/>
      <c r="DL31" s="256"/>
      <c r="DM31" s="256"/>
      <c r="DN31" s="256"/>
      <c r="DO31" s="257"/>
      <c r="DP31" s="335">
        <f>49838-49838</f>
        <v>0</v>
      </c>
      <c r="DQ31" s="336"/>
      <c r="DR31" s="336"/>
      <c r="DS31" s="336"/>
      <c r="DT31" s="336"/>
      <c r="DU31" s="336"/>
      <c r="DV31" s="336"/>
      <c r="DW31" s="336"/>
      <c r="DX31" s="336"/>
      <c r="DY31" s="336"/>
      <c r="DZ31" s="336"/>
      <c r="EA31" s="336"/>
      <c r="EB31" s="337"/>
      <c r="EC31" s="335">
        <v>95109</v>
      </c>
      <c r="ED31" s="336"/>
      <c r="EE31" s="336"/>
      <c r="EF31" s="336"/>
      <c r="EG31" s="336"/>
      <c r="EH31" s="336"/>
      <c r="EI31" s="336"/>
      <c r="EJ31" s="336"/>
      <c r="EK31" s="336"/>
      <c r="EL31" s="336"/>
      <c r="EM31" s="336"/>
      <c r="EN31" s="336"/>
      <c r="EO31" s="337"/>
      <c r="EP31" s="335">
        <v>95109</v>
      </c>
      <c r="EQ31" s="336"/>
      <c r="ER31" s="336"/>
      <c r="ES31" s="336"/>
      <c r="ET31" s="336"/>
      <c r="EU31" s="336"/>
      <c r="EV31" s="336"/>
      <c r="EW31" s="336"/>
      <c r="EX31" s="336"/>
      <c r="EY31" s="336"/>
      <c r="EZ31" s="336"/>
      <c r="FA31" s="336"/>
      <c r="FB31" s="337"/>
      <c r="FC31" s="335"/>
      <c r="FD31" s="336"/>
      <c r="FE31" s="336"/>
      <c r="FF31" s="336"/>
      <c r="FG31" s="336"/>
      <c r="FH31" s="336"/>
      <c r="FI31" s="336"/>
      <c r="FJ31" s="336"/>
      <c r="FK31" s="336"/>
      <c r="FL31" s="336"/>
      <c r="FM31" s="336"/>
      <c r="FN31" s="336"/>
      <c r="FO31" s="338"/>
    </row>
    <row r="32" spans="1:171" ht="12.75" customHeight="1">
      <c r="A32" s="258"/>
      <c r="B32" s="256"/>
      <c r="C32" s="256"/>
      <c r="D32" s="256"/>
      <c r="E32" s="256"/>
      <c r="F32" s="256"/>
      <c r="G32" s="256"/>
      <c r="H32" s="257"/>
      <c r="I32" s="339" t="s">
        <v>536</v>
      </c>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40"/>
      <c r="CE32" s="340"/>
      <c r="CF32" s="340"/>
      <c r="CG32" s="340"/>
      <c r="CH32" s="340"/>
      <c r="CI32" s="340"/>
      <c r="CJ32" s="340"/>
      <c r="CK32" s="340"/>
      <c r="CL32" s="340"/>
      <c r="CM32" s="340"/>
      <c r="CN32" s="255" t="s">
        <v>537</v>
      </c>
      <c r="CO32" s="256"/>
      <c r="CP32" s="256"/>
      <c r="CQ32" s="256"/>
      <c r="CR32" s="256"/>
      <c r="CS32" s="256"/>
      <c r="CT32" s="256"/>
      <c r="CU32" s="257"/>
      <c r="CV32" s="258" t="s">
        <v>34</v>
      </c>
      <c r="CW32" s="256"/>
      <c r="CX32" s="256"/>
      <c r="CY32" s="256"/>
      <c r="CZ32" s="256"/>
      <c r="DA32" s="256"/>
      <c r="DB32" s="256"/>
      <c r="DC32" s="256"/>
      <c r="DD32" s="256"/>
      <c r="DE32" s="257"/>
      <c r="DF32" s="258" t="s">
        <v>538</v>
      </c>
      <c r="DG32" s="256"/>
      <c r="DH32" s="256"/>
      <c r="DI32" s="256"/>
      <c r="DJ32" s="256"/>
      <c r="DK32" s="256"/>
      <c r="DL32" s="256"/>
      <c r="DM32" s="256"/>
      <c r="DN32" s="256"/>
      <c r="DO32" s="257"/>
      <c r="DP32" s="335">
        <v>441600</v>
      </c>
      <c r="DQ32" s="336"/>
      <c r="DR32" s="336"/>
      <c r="DS32" s="336"/>
      <c r="DT32" s="336"/>
      <c r="DU32" s="336"/>
      <c r="DV32" s="336"/>
      <c r="DW32" s="336"/>
      <c r="DX32" s="336"/>
      <c r="DY32" s="336"/>
      <c r="DZ32" s="336"/>
      <c r="EA32" s="336"/>
      <c r="EB32" s="337"/>
      <c r="EC32" s="335">
        <v>0</v>
      </c>
      <c r="ED32" s="336"/>
      <c r="EE32" s="336"/>
      <c r="EF32" s="336"/>
      <c r="EG32" s="336"/>
      <c r="EH32" s="336"/>
      <c r="EI32" s="336"/>
      <c r="EJ32" s="336"/>
      <c r="EK32" s="336"/>
      <c r="EL32" s="336"/>
      <c r="EM32" s="336"/>
      <c r="EN32" s="336"/>
      <c r="EO32" s="337"/>
      <c r="EP32" s="335">
        <v>0</v>
      </c>
      <c r="EQ32" s="336"/>
      <c r="ER32" s="336"/>
      <c r="ES32" s="336"/>
      <c r="ET32" s="336"/>
      <c r="EU32" s="336"/>
      <c r="EV32" s="336"/>
      <c r="EW32" s="336"/>
      <c r="EX32" s="336"/>
      <c r="EY32" s="336"/>
      <c r="EZ32" s="336"/>
      <c r="FA32" s="336"/>
      <c r="FB32" s="337"/>
      <c r="FC32" s="335"/>
      <c r="FD32" s="336"/>
      <c r="FE32" s="336"/>
      <c r="FF32" s="336"/>
      <c r="FG32" s="336"/>
      <c r="FH32" s="336"/>
      <c r="FI32" s="336"/>
      <c r="FJ32" s="336"/>
      <c r="FK32" s="336"/>
      <c r="FL32" s="336"/>
      <c r="FM32" s="336"/>
      <c r="FN32" s="336"/>
      <c r="FO32" s="338"/>
    </row>
    <row r="33" spans="1:171" ht="12.75" customHeight="1">
      <c r="A33" s="258"/>
      <c r="B33" s="256"/>
      <c r="C33" s="256"/>
      <c r="D33" s="256"/>
      <c r="E33" s="256"/>
      <c r="F33" s="256"/>
      <c r="G33" s="256"/>
      <c r="H33" s="257"/>
      <c r="I33" s="339" t="s">
        <v>542</v>
      </c>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340"/>
      <c r="BL33" s="340"/>
      <c r="BM33" s="340"/>
      <c r="BN33" s="340"/>
      <c r="BO33" s="340"/>
      <c r="BP33" s="340"/>
      <c r="BQ33" s="340"/>
      <c r="BR33" s="340"/>
      <c r="BS33" s="340"/>
      <c r="BT33" s="340"/>
      <c r="BU33" s="340"/>
      <c r="BV33" s="340"/>
      <c r="BW33" s="340"/>
      <c r="BX33" s="340"/>
      <c r="BY33" s="340"/>
      <c r="BZ33" s="340"/>
      <c r="CA33" s="340"/>
      <c r="CB33" s="340"/>
      <c r="CC33" s="340"/>
      <c r="CD33" s="340"/>
      <c r="CE33" s="340"/>
      <c r="CF33" s="340"/>
      <c r="CG33" s="340"/>
      <c r="CH33" s="340"/>
      <c r="CI33" s="340"/>
      <c r="CJ33" s="340"/>
      <c r="CK33" s="340"/>
      <c r="CL33" s="340"/>
      <c r="CM33" s="340"/>
      <c r="CN33" s="255" t="s">
        <v>544</v>
      </c>
      <c r="CO33" s="256"/>
      <c r="CP33" s="256"/>
      <c r="CQ33" s="256"/>
      <c r="CR33" s="256"/>
      <c r="CS33" s="256"/>
      <c r="CT33" s="256"/>
      <c r="CU33" s="257"/>
      <c r="CV33" s="258" t="s">
        <v>34</v>
      </c>
      <c r="CW33" s="256"/>
      <c r="CX33" s="256"/>
      <c r="CY33" s="256"/>
      <c r="CZ33" s="256"/>
      <c r="DA33" s="256"/>
      <c r="DB33" s="256"/>
      <c r="DC33" s="256"/>
      <c r="DD33" s="256"/>
      <c r="DE33" s="257"/>
      <c r="DF33" s="258" t="s">
        <v>543</v>
      </c>
      <c r="DG33" s="256"/>
      <c r="DH33" s="256"/>
      <c r="DI33" s="256"/>
      <c r="DJ33" s="256"/>
      <c r="DK33" s="256"/>
      <c r="DL33" s="256"/>
      <c r="DM33" s="256"/>
      <c r="DN33" s="256"/>
      <c r="DO33" s="257"/>
      <c r="DP33" s="335">
        <v>146140</v>
      </c>
      <c r="DQ33" s="336"/>
      <c r="DR33" s="336"/>
      <c r="DS33" s="336"/>
      <c r="DT33" s="336"/>
      <c r="DU33" s="336"/>
      <c r="DV33" s="336"/>
      <c r="DW33" s="336"/>
      <c r="DX33" s="336"/>
      <c r="DY33" s="336"/>
      <c r="DZ33" s="336"/>
      <c r="EA33" s="336"/>
      <c r="EB33" s="337"/>
      <c r="EC33" s="335">
        <v>0</v>
      </c>
      <c r="ED33" s="336"/>
      <c r="EE33" s="336"/>
      <c r="EF33" s="336"/>
      <c r="EG33" s="336"/>
      <c r="EH33" s="336"/>
      <c r="EI33" s="336"/>
      <c r="EJ33" s="336"/>
      <c r="EK33" s="336"/>
      <c r="EL33" s="336"/>
      <c r="EM33" s="336"/>
      <c r="EN33" s="336"/>
      <c r="EO33" s="337"/>
      <c r="EP33" s="335">
        <v>0</v>
      </c>
      <c r="EQ33" s="336"/>
      <c r="ER33" s="336"/>
      <c r="ES33" s="336"/>
      <c r="ET33" s="336"/>
      <c r="EU33" s="336"/>
      <c r="EV33" s="336"/>
      <c r="EW33" s="336"/>
      <c r="EX33" s="336"/>
      <c r="EY33" s="336"/>
      <c r="EZ33" s="336"/>
      <c r="FA33" s="336"/>
      <c r="FB33" s="337"/>
      <c r="FC33" s="335"/>
      <c r="FD33" s="336"/>
      <c r="FE33" s="336"/>
      <c r="FF33" s="336"/>
      <c r="FG33" s="336"/>
      <c r="FH33" s="336"/>
      <c r="FI33" s="336"/>
      <c r="FJ33" s="336"/>
      <c r="FK33" s="336"/>
      <c r="FL33" s="336"/>
      <c r="FM33" s="336"/>
      <c r="FN33" s="336"/>
      <c r="FO33" s="338"/>
    </row>
    <row r="34" spans="1:171" ht="12.75" customHeight="1">
      <c r="A34" s="258"/>
      <c r="B34" s="256"/>
      <c r="C34" s="256"/>
      <c r="D34" s="256"/>
      <c r="E34" s="256"/>
      <c r="F34" s="256"/>
      <c r="G34" s="256"/>
      <c r="H34" s="257"/>
      <c r="I34" s="339" t="s">
        <v>547</v>
      </c>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0"/>
      <c r="BC34" s="340"/>
      <c r="BD34" s="340"/>
      <c r="BE34" s="340"/>
      <c r="BF34" s="340"/>
      <c r="BG34" s="340"/>
      <c r="BH34" s="340"/>
      <c r="BI34" s="340"/>
      <c r="BJ34" s="340"/>
      <c r="BK34" s="340"/>
      <c r="BL34" s="340"/>
      <c r="BM34" s="340"/>
      <c r="BN34" s="340"/>
      <c r="BO34" s="340"/>
      <c r="BP34" s="340"/>
      <c r="BQ34" s="340"/>
      <c r="BR34" s="340"/>
      <c r="BS34" s="340"/>
      <c r="BT34" s="340"/>
      <c r="BU34" s="340"/>
      <c r="BV34" s="340"/>
      <c r="BW34" s="340"/>
      <c r="BX34" s="340"/>
      <c r="BY34" s="340"/>
      <c r="BZ34" s="340"/>
      <c r="CA34" s="340"/>
      <c r="CB34" s="340"/>
      <c r="CC34" s="340"/>
      <c r="CD34" s="340"/>
      <c r="CE34" s="340"/>
      <c r="CF34" s="340"/>
      <c r="CG34" s="340"/>
      <c r="CH34" s="340"/>
      <c r="CI34" s="340"/>
      <c r="CJ34" s="340"/>
      <c r="CK34" s="340"/>
      <c r="CL34" s="340"/>
      <c r="CM34" s="340"/>
      <c r="CN34" s="255" t="s">
        <v>548</v>
      </c>
      <c r="CO34" s="256"/>
      <c r="CP34" s="256"/>
      <c r="CQ34" s="256"/>
      <c r="CR34" s="256"/>
      <c r="CS34" s="256"/>
      <c r="CT34" s="256"/>
      <c r="CU34" s="257"/>
      <c r="CV34" s="258" t="s">
        <v>34</v>
      </c>
      <c r="CW34" s="256"/>
      <c r="CX34" s="256"/>
      <c r="CY34" s="256"/>
      <c r="CZ34" s="256"/>
      <c r="DA34" s="256"/>
      <c r="DB34" s="256"/>
      <c r="DC34" s="256"/>
      <c r="DD34" s="256"/>
      <c r="DE34" s="257"/>
      <c r="DF34" s="258" t="s">
        <v>549</v>
      </c>
      <c r="DG34" s="256"/>
      <c r="DH34" s="256"/>
      <c r="DI34" s="256"/>
      <c r="DJ34" s="256"/>
      <c r="DK34" s="256"/>
      <c r="DL34" s="256"/>
      <c r="DM34" s="256"/>
      <c r="DN34" s="256"/>
      <c r="DO34" s="257"/>
      <c r="DP34" s="335">
        <v>1210</v>
      </c>
      <c r="DQ34" s="336"/>
      <c r="DR34" s="336"/>
      <c r="DS34" s="336"/>
      <c r="DT34" s="336"/>
      <c r="DU34" s="336"/>
      <c r="DV34" s="336"/>
      <c r="DW34" s="336"/>
      <c r="DX34" s="336"/>
      <c r="DY34" s="336"/>
      <c r="DZ34" s="336"/>
      <c r="EA34" s="336"/>
      <c r="EB34" s="337"/>
      <c r="EC34" s="335">
        <v>0</v>
      </c>
      <c r="ED34" s="336"/>
      <c r="EE34" s="336"/>
      <c r="EF34" s="336"/>
      <c r="EG34" s="336"/>
      <c r="EH34" s="336"/>
      <c r="EI34" s="336"/>
      <c r="EJ34" s="336"/>
      <c r="EK34" s="336"/>
      <c r="EL34" s="336"/>
      <c r="EM34" s="336"/>
      <c r="EN34" s="336"/>
      <c r="EO34" s="337"/>
      <c r="EP34" s="335">
        <v>0</v>
      </c>
      <c r="EQ34" s="336"/>
      <c r="ER34" s="336"/>
      <c r="ES34" s="336"/>
      <c r="ET34" s="336"/>
      <c r="EU34" s="336"/>
      <c r="EV34" s="336"/>
      <c r="EW34" s="336"/>
      <c r="EX34" s="336"/>
      <c r="EY34" s="336"/>
      <c r="EZ34" s="336"/>
      <c r="FA34" s="336"/>
      <c r="FB34" s="337"/>
      <c r="FC34" s="335"/>
      <c r="FD34" s="336"/>
      <c r="FE34" s="336"/>
      <c r="FF34" s="336"/>
      <c r="FG34" s="336"/>
      <c r="FH34" s="336"/>
      <c r="FI34" s="336"/>
      <c r="FJ34" s="336"/>
      <c r="FK34" s="336"/>
      <c r="FL34" s="336"/>
      <c r="FM34" s="336"/>
      <c r="FN34" s="336"/>
      <c r="FO34" s="338"/>
    </row>
    <row r="35" spans="1:171" ht="12.75" customHeight="1">
      <c r="A35" s="258" t="s">
        <v>199</v>
      </c>
      <c r="B35" s="256"/>
      <c r="C35" s="256"/>
      <c r="D35" s="256"/>
      <c r="E35" s="256"/>
      <c r="F35" s="256"/>
      <c r="G35" s="256"/>
      <c r="H35" s="257"/>
      <c r="I35" s="313" t="s">
        <v>200</v>
      </c>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255" t="s">
        <v>201</v>
      </c>
      <c r="CO35" s="256"/>
      <c r="CP35" s="256"/>
      <c r="CQ35" s="256"/>
      <c r="CR35" s="256"/>
      <c r="CS35" s="256"/>
      <c r="CT35" s="256"/>
      <c r="CU35" s="257"/>
      <c r="CV35" s="258" t="s">
        <v>34</v>
      </c>
      <c r="CW35" s="256"/>
      <c r="CX35" s="256"/>
      <c r="CY35" s="256"/>
      <c r="CZ35" s="256"/>
      <c r="DA35" s="256"/>
      <c r="DB35" s="256"/>
      <c r="DC35" s="256"/>
      <c r="DD35" s="256"/>
      <c r="DE35" s="257"/>
      <c r="DF35" s="258"/>
      <c r="DG35" s="256"/>
      <c r="DH35" s="256"/>
      <c r="DI35" s="256"/>
      <c r="DJ35" s="256"/>
      <c r="DK35" s="256"/>
      <c r="DL35" s="256"/>
      <c r="DM35" s="256"/>
      <c r="DN35" s="256"/>
      <c r="DO35" s="257"/>
      <c r="DP35" s="335"/>
      <c r="DQ35" s="336"/>
      <c r="DR35" s="336"/>
      <c r="DS35" s="336"/>
      <c r="DT35" s="336"/>
      <c r="DU35" s="336"/>
      <c r="DV35" s="336"/>
      <c r="DW35" s="336"/>
      <c r="DX35" s="336"/>
      <c r="DY35" s="336"/>
      <c r="DZ35" s="336"/>
      <c r="EA35" s="336"/>
      <c r="EB35" s="337"/>
      <c r="EC35" s="335"/>
      <c r="ED35" s="336"/>
      <c r="EE35" s="336"/>
      <c r="EF35" s="336"/>
      <c r="EG35" s="336"/>
      <c r="EH35" s="336"/>
      <c r="EI35" s="336"/>
      <c r="EJ35" s="336"/>
      <c r="EK35" s="336"/>
      <c r="EL35" s="336"/>
      <c r="EM35" s="336"/>
      <c r="EN35" s="336"/>
      <c r="EO35" s="337"/>
      <c r="EP35" s="335"/>
      <c r="EQ35" s="336"/>
      <c r="ER35" s="336"/>
      <c r="ES35" s="336"/>
      <c r="ET35" s="336"/>
      <c r="EU35" s="336"/>
      <c r="EV35" s="336"/>
      <c r="EW35" s="336"/>
      <c r="EX35" s="336"/>
      <c r="EY35" s="336"/>
      <c r="EZ35" s="336"/>
      <c r="FA35" s="336"/>
      <c r="FB35" s="337"/>
      <c r="FC35" s="335"/>
      <c r="FD35" s="336"/>
      <c r="FE35" s="336"/>
      <c r="FF35" s="336"/>
      <c r="FG35" s="336"/>
      <c r="FH35" s="336"/>
      <c r="FI35" s="336"/>
      <c r="FJ35" s="336"/>
      <c r="FK35" s="336"/>
      <c r="FL35" s="336"/>
      <c r="FM35" s="336"/>
      <c r="FN35" s="336"/>
      <c r="FO35" s="338"/>
    </row>
    <row r="36" spans="1:171" ht="12.75" customHeight="1">
      <c r="A36" s="258"/>
      <c r="B36" s="256"/>
      <c r="C36" s="256"/>
      <c r="D36" s="256"/>
      <c r="E36" s="256"/>
      <c r="F36" s="256"/>
      <c r="G36" s="256"/>
      <c r="H36" s="257"/>
      <c r="I36" s="313" t="s">
        <v>438</v>
      </c>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255" t="s">
        <v>444</v>
      </c>
      <c r="CO36" s="256"/>
      <c r="CP36" s="256"/>
      <c r="CQ36" s="256"/>
      <c r="CR36" s="256"/>
      <c r="CS36" s="256"/>
      <c r="CT36" s="256"/>
      <c r="CU36" s="257"/>
      <c r="CV36" s="258" t="s">
        <v>34</v>
      </c>
      <c r="CW36" s="256"/>
      <c r="CX36" s="256"/>
      <c r="CY36" s="256"/>
      <c r="CZ36" s="256"/>
      <c r="DA36" s="256"/>
      <c r="DB36" s="256"/>
      <c r="DC36" s="256"/>
      <c r="DD36" s="256"/>
      <c r="DE36" s="257"/>
      <c r="DF36" s="258"/>
      <c r="DG36" s="256"/>
      <c r="DH36" s="256"/>
      <c r="DI36" s="256"/>
      <c r="DJ36" s="256"/>
      <c r="DK36" s="256"/>
      <c r="DL36" s="256"/>
      <c r="DM36" s="256"/>
      <c r="DN36" s="256"/>
      <c r="DO36" s="257"/>
      <c r="DP36" s="335"/>
      <c r="DQ36" s="336"/>
      <c r="DR36" s="336"/>
      <c r="DS36" s="336"/>
      <c r="DT36" s="336"/>
      <c r="DU36" s="336"/>
      <c r="DV36" s="336"/>
      <c r="DW36" s="336"/>
      <c r="DX36" s="336"/>
      <c r="DY36" s="336"/>
      <c r="DZ36" s="336"/>
      <c r="EA36" s="336"/>
      <c r="EB36" s="337"/>
      <c r="EC36" s="335"/>
      <c r="ED36" s="336"/>
      <c r="EE36" s="336"/>
      <c r="EF36" s="336"/>
      <c r="EG36" s="336"/>
      <c r="EH36" s="336"/>
      <c r="EI36" s="336"/>
      <c r="EJ36" s="336"/>
      <c r="EK36" s="336"/>
      <c r="EL36" s="336"/>
      <c r="EM36" s="336"/>
      <c r="EN36" s="336"/>
      <c r="EO36" s="337"/>
      <c r="EP36" s="335"/>
      <c r="EQ36" s="336"/>
      <c r="ER36" s="336"/>
      <c r="ES36" s="336"/>
      <c r="ET36" s="336"/>
      <c r="EU36" s="336"/>
      <c r="EV36" s="336"/>
      <c r="EW36" s="336"/>
      <c r="EX36" s="336"/>
      <c r="EY36" s="336"/>
      <c r="EZ36" s="336"/>
      <c r="FA36" s="336"/>
      <c r="FB36" s="337"/>
      <c r="FC36" s="335"/>
      <c r="FD36" s="336"/>
      <c r="FE36" s="336"/>
      <c r="FF36" s="336"/>
      <c r="FG36" s="336"/>
      <c r="FH36" s="336"/>
      <c r="FI36" s="336"/>
      <c r="FJ36" s="336"/>
      <c r="FK36" s="336"/>
      <c r="FL36" s="336"/>
      <c r="FM36" s="336"/>
      <c r="FN36" s="336"/>
      <c r="FO36" s="338"/>
    </row>
    <row r="37" spans="1:171" ht="12">
      <c r="A37" s="258" t="s">
        <v>202</v>
      </c>
      <c r="B37" s="256"/>
      <c r="C37" s="256"/>
      <c r="D37" s="256"/>
      <c r="E37" s="256"/>
      <c r="F37" s="256"/>
      <c r="G37" s="256"/>
      <c r="H37" s="257"/>
      <c r="I37" s="313" t="s">
        <v>203</v>
      </c>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255" t="s">
        <v>204</v>
      </c>
      <c r="CO37" s="256"/>
      <c r="CP37" s="256"/>
      <c r="CQ37" s="256"/>
      <c r="CR37" s="256"/>
      <c r="CS37" s="256"/>
      <c r="CT37" s="256"/>
      <c r="CU37" s="257"/>
      <c r="CV37" s="258" t="s">
        <v>34</v>
      </c>
      <c r="CW37" s="256"/>
      <c r="CX37" s="256"/>
      <c r="CY37" s="256"/>
      <c r="CZ37" s="256"/>
      <c r="DA37" s="256"/>
      <c r="DB37" s="256"/>
      <c r="DC37" s="256"/>
      <c r="DD37" s="256"/>
      <c r="DE37" s="257"/>
      <c r="DF37" s="258"/>
      <c r="DG37" s="256"/>
      <c r="DH37" s="256"/>
      <c r="DI37" s="256"/>
      <c r="DJ37" s="256"/>
      <c r="DK37" s="256"/>
      <c r="DL37" s="256"/>
      <c r="DM37" s="256"/>
      <c r="DN37" s="256"/>
      <c r="DO37" s="257"/>
      <c r="DP37" s="335"/>
      <c r="DQ37" s="336"/>
      <c r="DR37" s="336"/>
      <c r="DS37" s="336"/>
      <c r="DT37" s="336"/>
      <c r="DU37" s="336"/>
      <c r="DV37" s="336"/>
      <c r="DW37" s="336"/>
      <c r="DX37" s="336"/>
      <c r="DY37" s="336"/>
      <c r="DZ37" s="336"/>
      <c r="EA37" s="336"/>
      <c r="EB37" s="337"/>
      <c r="EC37" s="335"/>
      <c r="ED37" s="336"/>
      <c r="EE37" s="336"/>
      <c r="EF37" s="336"/>
      <c r="EG37" s="336"/>
      <c r="EH37" s="336"/>
      <c r="EI37" s="336"/>
      <c r="EJ37" s="336"/>
      <c r="EK37" s="336"/>
      <c r="EL37" s="336"/>
      <c r="EM37" s="336"/>
      <c r="EN37" s="336"/>
      <c r="EO37" s="337"/>
      <c r="EP37" s="335"/>
      <c r="EQ37" s="336"/>
      <c r="ER37" s="336"/>
      <c r="ES37" s="336"/>
      <c r="ET37" s="336"/>
      <c r="EU37" s="336"/>
      <c r="EV37" s="336"/>
      <c r="EW37" s="336"/>
      <c r="EX37" s="336"/>
      <c r="EY37" s="336"/>
      <c r="EZ37" s="336"/>
      <c r="FA37" s="336"/>
      <c r="FB37" s="337"/>
      <c r="FC37" s="335"/>
      <c r="FD37" s="336"/>
      <c r="FE37" s="336"/>
      <c r="FF37" s="336"/>
      <c r="FG37" s="336"/>
      <c r="FH37" s="336"/>
      <c r="FI37" s="336"/>
      <c r="FJ37" s="336"/>
      <c r="FK37" s="336"/>
      <c r="FL37" s="336"/>
      <c r="FM37" s="336"/>
      <c r="FN37" s="336"/>
      <c r="FO37" s="338"/>
    </row>
    <row r="38" spans="1:171" ht="24" customHeight="1">
      <c r="A38" s="258" t="s">
        <v>205</v>
      </c>
      <c r="B38" s="256"/>
      <c r="C38" s="256"/>
      <c r="D38" s="256"/>
      <c r="E38" s="256"/>
      <c r="F38" s="256"/>
      <c r="G38" s="256"/>
      <c r="H38" s="257"/>
      <c r="I38" s="310" t="s">
        <v>189</v>
      </c>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1"/>
      <c r="CN38" s="255" t="s">
        <v>206</v>
      </c>
      <c r="CO38" s="256"/>
      <c r="CP38" s="256"/>
      <c r="CQ38" s="256"/>
      <c r="CR38" s="256"/>
      <c r="CS38" s="256"/>
      <c r="CT38" s="256"/>
      <c r="CU38" s="257"/>
      <c r="CV38" s="258" t="s">
        <v>34</v>
      </c>
      <c r="CW38" s="256"/>
      <c r="CX38" s="256"/>
      <c r="CY38" s="256"/>
      <c r="CZ38" s="256"/>
      <c r="DA38" s="256"/>
      <c r="DB38" s="256"/>
      <c r="DC38" s="256"/>
      <c r="DD38" s="256"/>
      <c r="DE38" s="257"/>
      <c r="DF38" s="258"/>
      <c r="DG38" s="256"/>
      <c r="DH38" s="256"/>
      <c r="DI38" s="256"/>
      <c r="DJ38" s="256"/>
      <c r="DK38" s="256"/>
      <c r="DL38" s="256"/>
      <c r="DM38" s="256"/>
      <c r="DN38" s="256"/>
      <c r="DO38" s="257"/>
      <c r="DP38" s="335"/>
      <c r="DQ38" s="336"/>
      <c r="DR38" s="336"/>
      <c r="DS38" s="336"/>
      <c r="DT38" s="336"/>
      <c r="DU38" s="336"/>
      <c r="DV38" s="336"/>
      <c r="DW38" s="336"/>
      <c r="DX38" s="336"/>
      <c r="DY38" s="336"/>
      <c r="DZ38" s="336"/>
      <c r="EA38" s="336"/>
      <c r="EB38" s="337"/>
      <c r="EC38" s="335"/>
      <c r="ED38" s="336"/>
      <c r="EE38" s="336"/>
      <c r="EF38" s="336"/>
      <c r="EG38" s="336"/>
      <c r="EH38" s="336"/>
      <c r="EI38" s="336"/>
      <c r="EJ38" s="336"/>
      <c r="EK38" s="336"/>
      <c r="EL38" s="336"/>
      <c r="EM38" s="336"/>
      <c r="EN38" s="336"/>
      <c r="EO38" s="337"/>
      <c r="EP38" s="335"/>
      <c r="EQ38" s="336"/>
      <c r="ER38" s="336"/>
      <c r="ES38" s="336"/>
      <c r="ET38" s="336"/>
      <c r="EU38" s="336"/>
      <c r="EV38" s="336"/>
      <c r="EW38" s="336"/>
      <c r="EX38" s="336"/>
      <c r="EY38" s="336"/>
      <c r="EZ38" s="336"/>
      <c r="FA38" s="336"/>
      <c r="FB38" s="337"/>
      <c r="FC38" s="335"/>
      <c r="FD38" s="336"/>
      <c r="FE38" s="336"/>
      <c r="FF38" s="336"/>
      <c r="FG38" s="336"/>
      <c r="FH38" s="336"/>
      <c r="FI38" s="336"/>
      <c r="FJ38" s="336"/>
      <c r="FK38" s="336"/>
      <c r="FL38" s="336"/>
      <c r="FM38" s="336"/>
      <c r="FN38" s="336"/>
      <c r="FO38" s="338"/>
    </row>
    <row r="39" spans="1:171" ht="12.75" customHeight="1">
      <c r="A39" s="258" t="s">
        <v>207</v>
      </c>
      <c r="B39" s="256"/>
      <c r="C39" s="256"/>
      <c r="D39" s="256"/>
      <c r="E39" s="256"/>
      <c r="F39" s="256"/>
      <c r="G39" s="256"/>
      <c r="H39" s="257"/>
      <c r="I39" s="310" t="s">
        <v>192</v>
      </c>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c r="BR39" s="341"/>
      <c r="BS39" s="341"/>
      <c r="BT39" s="341"/>
      <c r="BU39" s="341"/>
      <c r="BV39" s="341"/>
      <c r="BW39" s="341"/>
      <c r="BX39" s="341"/>
      <c r="BY39" s="341"/>
      <c r="BZ39" s="341"/>
      <c r="CA39" s="341"/>
      <c r="CB39" s="341"/>
      <c r="CC39" s="341"/>
      <c r="CD39" s="341"/>
      <c r="CE39" s="341"/>
      <c r="CF39" s="341"/>
      <c r="CG39" s="341"/>
      <c r="CH39" s="341"/>
      <c r="CI39" s="341"/>
      <c r="CJ39" s="341"/>
      <c r="CK39" s="341"/>
      <c r="CL39" s="341"/>
      <c r="CM39" s="341"/>
      <c r="CN39" s="255" t="s">
        <v>208</v>
      </c>
      <c r="CO39" s="256"/>
      <c r="CP39" s="256"/>
      <c r="CQ39" s="256"/>
      <c r="CR39" s="256"/>
      <c r="CS39" s="256"/>
      <c r="CT39" s="256"/>
      <c r="CU39" s="257"/>
      <c r="CV39" s="258" t="s">
        <v>34</v>
      </c>
      <c r="CW39" s="256"/>
      <c r="CX39" s="256"/>
      <c r="CY39" s="256"/>
      <c r="CZ39" s="256"/>
      <c r="DA39" s="256"/>
      <c r="DB39" s="256"/>
      <c r="DC39" s="256"/>
      <c r="DD39" s="256"/>
      <c r="DE39" s="257"/>
      <c r="DF39" s="258"/>
      <c r="DG39" s="256"/>
      <c r="DH39" s="256"/>
      <c r="DI39" s="256"/>
      <c r="DJ39" s="256"/>
      <c r="DK39" s="256"/>
      <c r="DL39" s="256"/>
      <c r="DM39" s="256"/>
      <c r="DN39" s="256"/>
      <c r="DO39" s="257"/>
      <c r="DP39" s="335"/>
      <c r="DQ39" s="336"/>
      <c r="DR39" s="336"/>
      <c r="DS39" s="336"/>
      <c r="DT39" s="336"/>
      <c r="DU39" s="336"/>
      <c r="DV39" s="336"/>
      <c r="DW39" s="336"/>
      <c r="DX39" s="336"/>
      <c r="DY39" s="336"/>
      <c r="DZ39" s="336"/>
      <c r="EA39" s="336"/>
      <c r="EB39" s="337"/>
      <c r="EC39" s="335"/>
      <c r="ED39" s="336"/>
      <c r="EE39" s="336"/>
      <c r="EF39" s="336"/>
      <c r="EG39" s="336"/>
      <c r="EH39" s="336"/>
      <c r="EI39" s="336"/>
      <c r="EJ39" s="336"/>
      <c r="EK39" s="336"/>
      <c r="EL39" s="336"/>
      <c r="EM39" s="336"/>
      <c r="EN39" s="336"/>
      <c r="EO39" s="337"/>
      <c r="EP39" s="335"/>
      <c r="EQ39" s="336"/>
      <c r="ER39" s="336"/>
      <c r="ES39" s="336"/>
      <c r="ET39" s="336"/>
      <c r="EU39" s="336"/>
      <c r="EV39" s="336"/>
      <c r="EW39" s="336"/>
      <c r="EX39" s="336"/>
      <c r="EY39" s="336"/>
      <c r="EZ39" s="336"/>
      <c r="FA39" s="336"/>
      <c r="FB39" s="337"/>
      <c r="FC39" s="335"/>
      <c r="FD39" s="336"/>
      <c r="FE39" s="336"/>
      <c r="FF39" s="336"/>
      <c r="FG39" s="336"/>
      <c r="FH39" s="336"/>
      <c r="FI39" s="336"/>
      <c r="FJ39" s="336"/>
      <c r="FK39" s="336"/>
      <c r="FL39" s="336"/>
      <c r="FM39" s="336"/>
      <c r="FN39" s="336"/>
      <c r="FO39" s="338"/>
    </row>
    <row r="40" spans="1:171" ht="12.75" thickBot="1">
      <c r="A40" s="258" t="s">
        <v>209</v>
      </c>
      <c r="B40" s="256"/>
      <c r="C40" s="256"/>
      <c r="D40" s="256"/>
      <c r="E40" s="256"/>
      <c r="F40" s="256"/>
      <c r="G40" s="256"/>
      <c r="H40" s="257"/>
      <c r="I40" s="313" t="s">
        <v>210</v>
      </c>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42"/>
      <c r="CI40" s="342"/>
      <c r="CJ40" s="342"/>
      <c r="CK40" s="342"/>
      <c r="CL40" s="342"/>
      <c r="CM40" s="342"/>
      <c r="CN40" s="319" t="s">
        <v>211</v>
      </c>
      <c r="CO40" s="320"/>
      <c r="CP40" s="320"/>
      <c r="CQ40" s="320"/>
      <c r="CR40" s="320"/>
      <c r="CS40" s="320"/>
      <c r="CT40" s="320"/>
      <c r="CU40" s="321"/>
      <c r="CV40" s="322" t="s">
        <v>34</v>
      </c>
      <c r="CW40" s="320"/>
      <c r="CX40" s="320"/>
      <c r="CY40" s="320"/>
      <c r="CZ40" s="320"/>
      <c r="DA40" s="320"/>
      <c r="DB40" s="320"/>
      <c r="DC40" s="320"/>
      <c r="DD40" s="320"/>
      <c r="DE40" s="321"/>
      <c r="DF40" s="258"/>
      <c r="DG40" s="256"/>
      <c r="DH40" s="256"/>
      <c r="DI40" s="256"/>
      <c r="DJ40" s="256"/>
      <c r="DK40" s="256"/>
      <c r="DL40" s="256"/>
      <c r="DM40" s="256"/>
      <c r="DN40" s="256"/>
      <c r="DO40" s="257"/>
      <c r="DP40" s="380">
        <f>DP41</f>
        <v>881944.3200000001</v>
      </c>
      <c r="DQ40" s="381"/>
      <c r="DR40" s="381"/>
      <c r="DS40" s="381"/>
      <c r="DT40" s="381"/>
      <c r="DU40" s="381"/>
      <c r="DV40" s="381"/>
      <c r="DW40" s="381"/>
      <c r="DX40" s="381"/>
      <c r="DY40" s="381"/>
      <c r="DZ40" s="381"/>
      <c r="EA40" s="381"/>
      <c r="EB40" s="382"/>
      <c r="EC40" s="380">
        <f>EC41</f>
        <v>795636.8400000001</v>
      </c>
      <c r="ED40" s="381"/>
      <c r="EE40" s="381"/>
      <c r="EF40" s="381"/>
      <c r="EG40" s="381"/>
      <c r="EH40" s="381"/>
      <c r="EI40" s="381"/>
      <c r="EJ40" s="381"/>
      <c r="EK40" s="381"/>
      <c r="EL40" s="381"/>
      <c r="EM40" s="381"/>
      <c r="EN40" s="381"/>
      <c r="EO40" s="382"/>
      <c r="EP40" s="380">
        <f>EP41</f>
        <v>795636.8400000001</v>
      </c>
      <c r="EQ40" s="381"/>
      <c r="ER40" s="381"/>
      <c r="ES40" s="381"/>
      <c r="ET40" s="381"/>
      <c r="EU40" s="381"/>
      <c r="EV40" s="381"/>
      <c r="EW40" s="381"/>
      <c r="EX40" s="381"/>
      <c r="EY40" s="381"/>
      <c r="EZ40" s="381"/>
      <c r="FA40" s="381"/>
      <c r="FB40" s="382"/>
      <c r="FC40" s="380"/>
      <c r="FD40" s="381"/>
      <c r="FE40" s="381"/>
      <c r="FF40" s="381"/>
      <c r="FG40" s="381"/>
      <c r="FH40" s="381"/>
      <c r="FI40" s="381"/>
      <c r="FJ40" s="381"/>
      <c r="FK40" s="381"/>
      <c r="FL40" s="381"/>
      <c r="FM40" s="381"/>
      <c r="FN40" s="381"/>
      <c r="FO40" s="383"/>
    </row>
    <row r="41" spans="1:171" ht="24" customHeight="1">
      <c r="A41" s="258" t="s">
        <v>212</v>
      </c>
      <c r="B41" s="256"/>
      <c r="C41" s="256"/>
      <c r="D41" s="256"/>
      <c r="E41" s="256"/>
      <c r="F41" s="256"/>
      <c r="G41" s="256"/>
      <c r="H41" s="257"/>
      <c r="I41" s="310" t="s">
        <v>189</v>
      </c>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c r="BT41" s="341"/>
      <c r="BU41" s="341"/>
      <c r="BV41" s="341"/>
      <c r="BW41" s="341"/>
      <c r="BX41" s="341"/>
      <c r="BY41" s="341"/>
      <c r="BZ41" s="341"/>
      <c r="CA41" s="341"/>
      <c r="CB41" s="341"/>
      <c r="CC41" s="341"/>
      <c r="CD41" s="341"/>
      <c r="CE41" s="341"/>
      <c r="CF41" s="341"/>
      <c r="CG41" s="341"/>
      <c r="CH41" s="341"/>
      <c r="CI41" s="341"/>
      <c r="CJ41" s="341"/>
      <c r="CK41" s="341"/>
      <c r="CL41" s="341"/>
      <c r="CM41" s="341"/>
      <c r="CN41" s="306" t="s">
        <v>213</v>
      </c>
      <c r="CO41" s="271"/>
      <c r="CP41" s="271"/>
      <c r="CQ41" s="271"/>
      <c r="CR41" s="271"/>
      <c r="CS41" s="271"/>
      <c r="CT41" s="271"/>
      <c r="CU41" s="272"/>
      <c r="CV41" s="270" t="s">
        <v>34</v>
      </c>
      <c r="CW41" s="271"/>
      <c r="CX41" s="271"/>
      <c r="CY41" s="271"/>
      <c r="CZ41" s="271"/>
      <c r="DA41" s="271"/>
      <c r="DB41" s="271"/>
      <c r="DC41" s="271"/>
      <c r="DD41" s="271"/>
      <c r="DE41" s="272"/>
      <c r="DF41" s="258"/>
      <c r="DG41" s="256"/>
      <c r="DH41" s="256"/>
      <c r="DI41" s="256"/>
      <c r="DJ41" s="256"/>
      <c r="DK41" s="256"/>
      <c r="DL41" s="256"/>
      <c r="DM41" s="256"/>
      <c r="DN41" s="256"/>
      <c r="DO41" s="257"/>
      <c r="DP41" s="368">
        <f>'стр.2'!DJ61-65097.51</f>
        <v>881944.3200000001</v>
      </c>
      <c r="DQ41" s="369"/>
      <c r="DR41" s="369"/>
      <c r="DS41" s="369"/>
      <c r="DT41" s="369"/>
      <c r="DU41" s="369"/>
      <c r="DV41" s="369"/>
      <c r="DW41" s="369"/>
      <c r="DX41" s="369"/>
      <c r="DY41" s="369"/>
      <c r="DZ41" s="369"/>
      <c r="EA41" s="369"/>
      <c r="EB41" s="370"/>
      <c r="EC41" s="368">
        <f>'стр.2'!DK61</f>
        <v>795636.8400000001</v>
      </c>
      <c r="ED41" s="369"/>
      <c r="EE41" s="369"/>
      <c r="EF41" s="369"/>
      <c r="EG41" s="369"/>
      <c r="EH41" s="369"/>
      <c r="EI41" s="369"/>
      <c r="EJ41" s="369"/>
      <c r="EK41" s="369"/>
      <c r="EL41" s="369"/>
      <c r="EM41" s="369"/>
      <c r="EN41" s="369"/>
      <c r="EO41" s="370"/>
      <c r="EP41" s="368">
        <f>'стр.2'!DL61</f>
        <v>795636.8400000001</v>
      </c>
      <c r="EQ41" s="369"/>
      <c r="ER41" s="369"/>
      <c r="ES41" s="369"/>
      <c r="ET41" s="369"/>
      <c r="EU41" s="369"/>
      <c r="EV41" s="369"/>
      <c r="EW41" s="369"/>
      <c r="EX41" s="369"/>
      <c r="EY41" s="369"/>
      <c r="EZ41" s="369"/>
      <c r="FA41" s="369"/>
      <c r="FB41" s="370"/>
      <c r="FC41" s="368"/>
      <c r="FD41" s="369"/>
      <c r="FE41" s="369"/>
      <c r="FF41" s="369"/>
      <c r="FG41" s="369"/>
      <c r="FH41" s="369"/>
      <c r="FI41" s="369"/>
      <c r="FJ41" s="369"/>
      <c r="FK41" s="369"/>
      <c r="FL41" s="369"/>
      <c r="FM41" s="369"/>
      <c r="FN41" s="369"/>
      <c r="FO41" s="384"/>
    </row>
    <row r="42" spans="1:171" ht="12">
      <c r="A42" s="258"/>
      <c r="B42" s="256"/>
      <c r="C42" s="256"/>
      <c r="D42" s="256"/>
      <c r="E42" s="256"/>
      <c r="F42" s="256"/>
      <c r="G42" s="256"/>
      <c r="H42" s="257"/>
      <c r="I42" s="310" t="s">
        <v>438</v>
      </c>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1"/>
      <c r="BR42" s="341"/>
      <c r="BS42" s="341"/>
      <c r="BT42" s="341"/>
      <c r="BU42" s="341"/>
      <c r="BV42" s="341"/>
      <c r="BW42" s="341"/>
      <c r="BX42" s="341"/>
      <c r="BY42" s="341"/>
      <c r="BZ42" s="341"/>
      <c r="CA42" s="341"/>
      <c r="CB42" s="341"/>
      <c r="CC42" s="341"/>
      <c r="CD42" s="341"/>
      <c r="CE42" s="341"/>
      <c r="CF42" s="341"/>
      <c r="CG42" s="341"/>
      <c r="CH42" s="341"/>
      <c r="CI42" s="341"/>
      <c r="CJ42" s="341"/>
      <c r="CK42" s="341"/>
      <c r="CL42" s="341"/>
      <c r="CM42" s="341"/>
      <c r="CN42" s="255" t="s">
        <v>445</v>
      </c>
      <c r="CO42" s="256"/>
      <c r="CP42" s="256"/>
      <c r="CQ42" s="256"/>
      <c r="CR42" s="256"/>
      <c r="CS42" s="256"/>
      <c r="CT42" s="256"/>
      <c r="CU42" s="257"/>
      <c r="CV42" s="258" t="s">
        <v>34</v>
      </c>
      <c r="CW42" s="256"/>
      <c r="CX42" s="256"/>
      <c r="CY42" s="256"/>
      <c r="CZ42" s="256"/>
      <c r="DA42" s="256"/>
      <c r="DB42" s="256"/>
      <c r="DC42" s="256"/>
      <c r="DD42" s="256"/>
      <c r="DE42" s="257"/>
      <c r="DF42" s="258"/>
      <c r="DG42" s="256"/>
      <c r="DH42" s="256"/>
      <c r="DI42" s="256"/>
      <c r="DJ42" s="256"/>
      <c r="DK42" s="256"/>
      <c r="DL42" s="256"/>
      <c r="DM42" s="256"/>
      <c r="DN42" s="256"/>
      <c r="DO42" s="257"/>
      <c r="DP42" s="335"/>
      <c r="DQ42" s="336"/>
      <c r="DR42" s="336"/>
      <c r="DS42" s="336"/>
      <c r="DT42" s="336"/>
      <c r="DU42" s="336"/>
      <c r="DV42" s="336"/>
      <c r="DW42" s="336"/>
      <c r="DX42" s="336"/>
      <c r="DY42" s="336"/>
      <c r="DZ42" s="336"/>
      <c r="EA42" s="336"/>
      <c r="EB42" s="337"/>
      <c r="EC42" s="335"/>
      <c r="ED42" s="336"/>
      <c r="EE42" s="336"/>
      <c r="EF42" s="336"/>
      <c r="EG42" s="336"/>
      <c r="EH42" s="336"/>
      <c r="EI42" s="336"/>
      <c r="EJ42" s="336"/>
      <c r="EK42" s="336"/>
      <c r="EL42" s="336"/>
      <c r="EM42" s="336"/>
      <c r="EN42" s="336"/>
      <c r="EO42" s="337"/>
      <c r="EP42" s="335"/>
      <c r="EQ42" s="336"/>
      <c r="ER42" s="336"/>
      <c r="ES42" s="336"/>
      <c r="ET42" s="336"/>
      <c r="EU42" s="336"/>
      <c r="EV42" s="336"/>
      <c r="EW42" s="336"/>
      <c r="EX42" s="336"/>
      <c r="EY42" s="336"/>
      <c r="EZ42" s="336"/>
      <c r="FA42" s="336"/>
      <c r="FB42" s="337"/>
      <c r="FC42" s="335"/>
      <c r="FD42" s="336"/>
      <c r="FE42" s="336"/>
      <c r="FF42" s="336"/>
      <c r="FG42" s="336"/>
      <c r="FH42" s="336"/>
      <c r="FI42" s="336"/>
      <c r="FJ42" s="336"/>
      <c r="FK42" s="336"/>
      <c r="FL42" s="336"/>
      <c r="FM42" s="336"/>
      <c r="FN42" s="336"/>
      <c r="FO42" s="338"/>
    </row>
    <row r="43" spans="1:171" ht="12">
      <c r="A43" s="258" t="s">
        <v>214</v>
      </c>
      <c r="B43" s="256"/>
      <c r="C43" s="256"/>
      <c r="D43" s="256"/>
      <c r="E43" s="256"/>
      <c r="F43" s="256"/>
      <c r="G43" s="256"/>
      <c r="H43" s="257"/>
      <c r="I43" s="310" t="s">
        <v>215</v>
      </c>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1"/>
      <c r="CK43" s="341"/>
      <c r="CL43" s="341"/>
      <c r="CM43" s="341"/>
      <c r="CN43" s="255" t="s">
        <v>216</v>
      </c>
      <c r="CO43" s="256"/>
      <c r="CP43" s="256"/>
      <c r="CQ43" s="256"/>
      <c r="CR43" s="256"/>
      <c r="CS43" s="256"/>
      <c r="CT43" s="256"/>
      <c r="CU43" s="257"/>
      <c r="CV43" s="258" t="s">
        <v>34</v>
      </c>
      <c r="CW43" s="256"/>
      <c r="CX43" s="256"/>
      <c r="CY43" s="256"/>
      <c r="CZ43" s="256"/>
      <c r="DA43" s="256"/>
      <c r="DB43" s="256"/>
      <c r="DC43" s="256"/>
      <c r="DD43" s="256"/>
      <c r="DE43" s="257"/>
      <c r="DF43" s="258"/>
      <c r="DG43" s="256"/>
      <c r="DH43" s="256"/>
      <c r="DI43" s="256"/>
      <c r="DJ43" s="256"/>
      <c r="DK43" s="256"/>
      <c r="DL43" s="256"/>
      <c r="DM43" s="256"/>
      <c r="DN43" s="256"/>
      <c r="DO43" s="257"/>
      <c r="DP43" s="335"/>
      <c r="DQ43" s="336"/>
      <c r="DR43" s="336"/>
      <c r="DS43" s="336"/>
      <c r="DT43" s="336"/>
      <c r="DU43" s="336"/>
      <c r="DV43" s="336"/>
      <c r="DW43" s="336"/>
      <c r="DX43" s="336"/>
      <c r="DY43" s="336"/>
      <c r="DZ43" s="336"/>
      <c r="EA43" s="336"/>
      <c r="EB43" s="337"/>
      <c r="EC43" s="335"/>
      <c r="ED43" s="336"/>
      <c r="EE43" s="336"/>
      <c r="EF43" s="336"/>
      <c r="EG43" s="336"/>
      <c r="EH43" s="336"/>
      <c r="EI43" s="336"/>
      <c r="EJ43" s="336"/>
      <c r="EK43" s="336"/>
      <c r="EL43" s="336"/>
      <c r="EM43" s="336"/>
      <c r="EN43" s="336"/>
      <c r="EO43" s="337"/>
      <c r="EP43" s="335"/>
      <c r="EQ43" s="336"/>
      <c r="ER43" s="336"/>
      <c r="ES43" s="336"/>
      <c r="ET43" s="336"/>
      <c r="EU43" s="336"/>
      <c r="EV43" s="336"/>
      <c r="EW43" s="336"/>
      <c r="EX43" s="336"/>
      <c r="EY43" s="336"/>
      <c r="EZ43" s="336"/>
      <c r="FA43" s="336"/>
      <c r="FB43" s="337"/>
      <c r="FC43" s="335"/>
      <c r="FD43" s="336"/>
      <c r="FE43" s="336"/>
      <c r="FF43" s="336"/>
      <c r="FG43" s="336"/>
      <c r="FH43" s="336"/>
      <c r="FI43" s="336"/>
      <c r="FJ43" s="336"/>
      <c r="FK43" s="336"/>
      <c r="FL43" s="336"/>
      <c r="FM43" s="336"/>
      <c r="FN43" s="336"/>
      <c r="FO43" s="338"/>
    </row>
    <row r="44" spans="1:171" ht="24" customHeight="1">
      <c r="A44" s="258" t="s">
        <v>10</v>
      </c>
      <c r="B44" s="256"/>
      <c r="C44" s="256"/>
      <c r="D44" s="256"/>
      <c r="E44" s="256"/>
      <c r="F44" s="256"/>
      <c r="G44" s="256"/>
      <c r="H44" s="257"/>
      <c r="I44" s="392" t="s">
        <v>217</v>
      </c>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c r="BV44" s="304"/>
      <c r="BW44" s="304"/>
      <c r="BX44" s="304"/>
      <c r="BY44" s="304"/>
      <c r="BZ44" s="304"/>
      <c r="CA44" s="304"/>
      <c r="CB44" s="304"/>
      <c r="CC44" s="304"/>
      <c r="CD44" s="304"/>
      <c r="CE44" s="304"/>
      <c r="CF44" s="304"/>
      <c r="CG44" s="304"/>
      <c r="CH44" s="304"/>
      <c r="CI44" s="304"/>
      <c r="CJ44" s="304"/>
      <c r="CK44" s="304"/>
      <c r="CL44" s="304"/>
      <c r="CM44" s="304"/>
      <c r="CN44" s="255" t="s">
        <v>218</v>
      </c>
      <c r="CO44" s="256"/>
      <c r="CP44" s="256"/>
      <c r="CQ44" s="256"/>
      <c r="CR44" s="256"/>
      <c r="CS44" s="256"/>
      <c r="CT44" s="256"/>
      <c r="CU44" s="257"/>
      <c r="CV44" s="258" t="s">
        <v>34</v>
      </c>
      <c r="CW44" s="256"/>
      <c r="CX44" s="256"/>
      <c r="CY44" s="256"/>
      <c r="CZ44" s="256"/>
      <c r="DA44" s="256"/>
      <c r="DB44" s="256"/>
      <c r="DC44" s="256"/>
      <c r="DD44" s="256"/>
      <c r="DE44" s="257"/>
      <c r="DF44" s="258"/>
      <c r="DG44" s="256"/>
      <c r="DH44" s="256"/>
      <c r="DI44" s="256"/>
      <c r="DJ44" s="256"/>
      <c r="DK44" s="256"/>
      <c r="DL44" s="256"/>
      <c r="DM44" s="256"/>
      <c r="DN44" s="256"/>
      <c r="DO44" s="257"/>
      <c r="DP44" s="335">
        <f>DP7</f>
        <v>4460640.59</v>
      </c>
      <c r="DQ44" s="336"/>
      <c r="DR44" s="336"/>
      <c r="DS44" s="336"/>
      <c r="DT44" s="336"/>
      <c r="DU44" s="336"/>
      <c r="DV44" s="336"/>
      <c r="DW44" s="336"/>
      <c r="DX44" s="336"/>
      <c r="DY44" s="336"/>
      <c r="DZ44" s="336"/>
      <c r="EA44" s="336"/>
      <c r="EB44" s="337"/>
      <c r="EC44" s="335">
        <f>EC15+EC18+EC35+EC37+EC40</f>
        <v>3273107.84</v>
      </c>
      <c r="ED44" s="336"/>
      <c r="EE44" s="336"/>
      <c r="EF44" s="336"/>
      <c r="EG44" s="336"/>
      <c r="EH44" s="336"/>
      <c r="EI44" s="336"/>
      <c r="EJ44" s="336"/>
      <c r="EK44" s="336"/>
      <c r="EL44" s="336"/>
      <c r="EM44" s="336"/>
      <c r="EN44" s="336"/>
      <c r="EO44" s="337"/>
      <c r="EP44" s="335">
        <f>EP15+EP18+EP35+EP37+EP40</f>
        <v>3273107.84</v>
      </c>
      <c r="EQ44" s="336"/>
      <c r="ER44" s="336"/>
      <c r="ES44" s="336"/>
      <c r="ET44" s="336"/>
      <c r="EU44" s="336"/>
      <c r="EV44" s="336"/>
      <c r="EW44" s="336"/>
      <c r="EX44" s="336"/>
      <c r="EY44" s="336"/>
      <c r="EZ44" s="336"/>
      <c r="FA44" s="336"/>
      <c r="FB44" s="337"/>
      <c r="FC44" s="335">
        <f>FC15+FC18+FC35+FC37+FC40</f>
        <v>483660.7</v>
      </c>
      <c r="FD44" s="336"/>
      <c r="FE44" s="336"/>
      <c r="FF44" s="336"/>
      <c r="FG44" s="336"/>
      <c r="FH44" s="336"/>
      <c r="FI44" s="336"/>
      <c r="FJ44" s="336"/>
      <c r="FK44" s="336"/>
      <c r="FL44" s="336"/>
      <c r="FM44" s="336"/>
      <c r="FN44" s="336"/>
      <c r="FO44" s="337"/>
    </row>
    <row r="45" spans="1:171" ht="11.25" customHeight="1">
      <c r="A45" s="346"/>
      <c r="B45" s="347"/>
      <c r="C45" s="347"/>
      <c r="D45" s="347"/>
      <c r="E45" s="347"/>
      <c r="F45" s="347"/>
      <c r="G45" s="347"/>
      <c r="H45" s="348"/>
      <c r="I45" s="385" t="s">
        <v>219</v>
      </c>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53" t="s">
        <v>220</v>
      </c>
      <c r="CO45" s="353"/>
      <c r="CP45" s="353"/>
      <c r="CQ45" s="353"/>
      <c r="CR45" s="353"/>
      <c r="CS45" s="353"/>
      <c r="CT45" s="353"/>
      <c r="CU45" s="353"/>
      <c r="CV45" s="353"/>
      <c r="CW45" s="353"/>
      <c r="CX45" s="353"/>
      <c r="CY45" s="353"/>
      <c r="CZ45" s="353"/>
      <c r="DA45" s="353"/>
      <c r="DB45" s="353"/>
      <c r="DC45" s="353"/>
      <c r="DD45" s="353"/>
      <c r="DE45" s="353"/>
      <c r="DF45" s="353"/>
      <c r="DG45" s="353"/>
      <c r="DH45" s="353"/>
      <c r="DI45" s="353"/>
      <c r="DJ45" s="353"/>
      <c r="DK45" s="353"/>
      <c r="DL45" s="353"/>
      <c r="DM45" s="353"/>
      <c r="DN45" s="353"/>
      <c r="DO45" s="353"/>
      <c r="DP45" s="361"/>
      <c r="DQ45" s="362"/>
      <c r="DR45" s="362"/>
      <c r="DS45" s="362"/>
      <c r="DT45" s="362"/>
      <c r="DU45" s="362"/>
      <c r="DV45" s="362"/>
      <c r="DW45" s="362"/>
      <c r="DX45" s="362"/>
      <c r="DY45" s="362"/>
      <c r="DZ45" s="362"/>
      <c r="EA45" s="362"/>
      <c r="EB45" s="362"/>
      <c r="EC45" s="361"/>
      <c r="ED45" s="362"/>
      <c r="EE45" s="362"/>
      <c r="EF45" s="362"/>
      <c r="EG45" s="362"/>
      <c r="EH45" s="362"/>
      <c r="EI45" s="362"/>
      <c r="EJ45" s="362"/>
      <c r="EK45" s="362"/>
      <c r="EL45" s="362"/>
      <c r="EM45" s="362"/>
      <c r="EN45" s="362"/>
      <c r="EO45" s="362"/>
      <c r="EP45" s="361"/>
      <c r="EQ45" s="362"/>
      <c r="ER45" s="362"/>
      <c r="ES45" s="362"/>
      <c r="ET45" s="362"/>
      <c r="EU45" s="362"/>
      <c r="EV45" s="362"/>
      <c r="EW45" s="362"/>
      <c r="EX45" s="362"/>
      <c r="EY45" s="362"/>
      <c r="EZ45" s="362"/>
      <c r="FA45" s="362"/>
      <c r="FB45" s="362"/>
      <c r="FC45" s="361"/>
      <c r="FD45" s="362"/>
      <c r="FE45" s="362"/>
      <c r="FF45" s="362"/>
      <c r="FG45" s="362"/>
      <c r="FH45" s="362"/>
      <c r="FI45" s="362"/>
      <c r="FJ45" s="362"/>
      <c r="FK45" s="362"/>
      <c r="FL45" s="362"/>
      <c r="FM45" s="362"/>
      <c r="FN45" s="362"/>
      <c r="FO45" s="362"/>
    </row>
    <row r="46" spans="1:171" ht="11.25" customHeight="1">
      <c r="A46" s="402"/>
      <c r="B46" s="352"/>
      <c r="C46" s="352"/>
      <c r="D46" s="352"/>
      <c r="E46" s="352"/>
      <c r="F46" s="352"/>
      <c r="G46" s="352"/>
      <c r="H46" s="403"/>
      <c r="I46" s="358">
        <v>2020</v>
      </c>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3"/>
      <c r="CO46" s="353"/>
      <c r="CP46" s="353"/>
      <c r="CQ46" s="353"/>
      <c r="CR46" s="353"/>
      <c r="CS46" s="353"/>
      <c r="CT46" s="353"/>
      <c r="CU46" s="353"/>
      <c r="CV46" s="387"/>
      <c r="CW46" s="388"/>
      <c r="CX46" s="388"/>
      <c r="CY46" s="388"/>
      <c r="CZ46" s="388"/>
      <c r="DA46" s="388"/>
      <c r="DB46" s="388"/>
      <c r="DC46" s="388"/>
      <c r="DD46" s="388"/>
      <c r="DE46" s="388"/>
      <c r="DF46" s="353"/>
      <c r="DG46" s="353"/>
      <c r="DH46" s="353"/>
      <c r="DI46" s="353"/>
      <c r="DJ46" s="353"/>
      <c r="DK46" s="353"/>
      <c r="DL46" s="353"/>
      <c r="DM46" s="353"/>
      <c r="DN46" s="353"/>
      <c r="DO46" s="353"/>
      <c r="DP46" s="361">
        <f>DP10</f>
        <v>282334.52</v>
      </c>
      <c r="DQ46" s="362"/>
      <c r="DR46" s="362"/>
      <c r="DS46" s="362"/>
      <c r="DT46" s="362"/>
      <c r="DU46" s="362"/>
      <c r="DV46" s="362"/>
      <c r="DW46" s="362"/>
      <c r="DX46" s="362"/>
      <c r="DY46" s="362"/>
      <c r="DZ46" s="362"/>
      <c r="EA46" s="362"/>
      <c r="EB46" s="362"/>
      <c r="EC46" s="361"/>
      <c r="ED46" s="362"/>
      <c r="EE46" s="362"/>
      <c r="EF46" s="362"/>
      <c r="EG46" s="362"/>
      <c r="EH46" s="362"/>
      <c r="EI46" s="362"/>
      <c r="EJ46" s="362"/>
      <c r="EK46" s="362"/>
      <c r="EL46" s="362"/>
      <c r="EM46" s="362"/>
      <c r="EN46" s="362"/>
      <c r="EO46" s="362"/>
      <c r="EP46" s="361"/>
      <c r="EQ46" s="362"/>
      <c r="ER46" s="362"/>
      <c r="ES46" s="362"/>
      <c r="ET46" s="362"/>
      <c r="EU46" s="362"/>
      <c r="EV46" s="362"/>
      <c r="EW46" s="362"/>
      <c r="EX46" s="362"/>
      <c r="EY46" s="362"/>
      <c r="EZ46" s="362"/>
      <c r="FA46" s="362"/>
      <c r="FB46" s="362"/>
      <c r="FC46" s="361"/>
      <c r="FD46" s="362"/>
      <c r="FE46" s="362"/>
      <c r="FF46" s="362"/>
      <c r="FG46" s="362"/>
      <c r="FH46" s="362"/>
      <c r="FI46" s="362"/>
      <c r="FJ46" s="362"/>
      <c r="FK46" s="362"/>
      <c r="FL46" s="362"/>
      <c r="FM46" s="362"/>
      <c r="FN46" s="362"/>
      <c r="FO46" s="362"/>
    </row>
    <row r="47" spans="1:171" ht="11.25" customHeight="1">
      <c r="A47" s="402"/>
      <c r="B47" s="352"/>
      <c r="C47" s="352"/>
      <c r="D47" s="352"/>
      <c r="E47" s="352"/>
      <c r="F47" s="352"/>
      <c r="G47" s="352"/>
      <c r="H47" s="403"/>
      <c r="I47" s="358">
        <v>2021</v>
      </c>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3"/>
      <c r="CO47" s="353"/>
      <c r="CP47" s="353"/>
      <c r="CQ47" s="353"/>
      <c r="CR47" s="353"/>
      <c r="CS47" s="353"/>
      <c r="CT47" s="353"/>
      <c r="CU47" s="353"/>
      <c r="CV47" s="387"/>
      <c r="CW47" s="388"/>
      <c r="CX47" s="388"/>
      <c r="CY47" s="388"/>
      <c r="CZ47" s="388"/>
      <c r="DA47" s="388"/>
      <c r="DB47" s="388"/>
      <c r="DC47" s="388"/>
      <c r="DD47" s="388"/>
      <c r="DE47" s="388"/>
      <c r="DF47" s="353"/>
      <c r="DG47" s="353"/>
      <c r="DH47" s="353"/>
      <c r="DI47" s="353"/>
      <c r="DJ47" s="353"/>
      <c r="DK47" s="353"/>
      <c r="DL47" s="353"/>
      <c r="DM47" s="353"/>
      <c r="DN47" s="353"/>
      <c r="DO47" s="353"/>
      <c r="DP47" s="361">
        <f>DP44-DP46</f>
        <v>4178306.07</v>
      </c>
      <c r="DQ47" s="362"/>
      <c r="DR47" s="362"/>
      <c r="DS47" s="362"/>
      <c r="DT47" s="362"/>
      <c r="DU47" s="362"/>
      <c r="DV47" s="362"/>
      <c r="DW47" s="362"/>
      <c r="DX47" s="362"/>
      <c r="DY47" s="362"/>
      <c r="DZ47" s="362"/>
      <c r="EA47" s="362"/>
      <c r="EB47" s="362"/>
      <c r="EC47" s="361"/>
      <c r="ED47" s="362"/>
      <c r="EE47" s="362"/>
      <c r="EF47" s="362"/>
      <c r="EG47" s="362"/>
      <c r="EH47" s="362"/>
      <c r="EI47" s="362"/>
      <c r="EJ47" s="362"/>
      <c r="EK47" s="362"/>
      <c r="EL47" s="362"/>
      <c r="EM47" s="362"/>
      <c r="EN47" s="362"/>
      <c r="EO47" s="362"/>
      <c r="EP47" s="361"/>
      <c r="EQ47" s="362"/>
      <c r="ER47" s="362"/>
      <c r="ES47" s="362"/>
      <c r="ET47" s="362"/>
      <c r="EU47" s="362"/>
      <c r="EV47" s="362"/>
      <c r="EW47" s="362"/>
      <c r="EX47" s="362"/>
      <c r="EY47" s="362"/>
      <c r="EZ47" s="362"/>
      <c r="FA47" s="362"/>
      <c r="FB47" s="362"/>
      <c r="FC47" s="361"/>
      <c r="FD47" s="362"/>
      <c r="FE47" s="362"/>
      <c r="FF47" s="362"/>
      <c r="FG47" s="362"/>
      <c r="FH47" s="362"/>
      <c r="FI47" s="362"/>
      <c r="FJ47" s="362"/>
      <c r="FK47" s="362"/>
      <c r="FL47" s="362"/>
      <c r="FM47" s="362"/>
      <c r="FN47" s="362"/>
      <c r="FO47" s="362"/>
    </row>
    <row r="48" spans="1:171" ht="11.25" customHeight="1">
      <c r="A48" s="269"/>
      <c r="B48" s="267"/>
      <c r="C48" s="267"/>
      <c r="D48" s="267"/>
      <c r="E48" s="267"/>
      <c r="F48" s="267"/>
      <c r="G48" s="267"/>
      <c r="H48" s="268"/>
      <c r="I48" s="358">
        <v>2022</v>
      </c>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53"/>
      <c r="CO48" s="353"/>
      <c r="CP48" s="353"/>
      <c r="CQ48" s="353"/>
      <c r="CR48" s="353"/>
      <c r="CS48" s="353"/>
      <c r="CT48" s="353"/>
      <c r="CU48" s="353"/>
      <c r="CV48" s="387"/>
      <c r="CW48" s="388"/>
      <c r="CX48" s="388"/>
      <c r="CY48" s="388"/>
      <c r="CZ48" s="388"/>
      <c r="DA48" s="388"/>
      <c r="DB48" s="388"/>
      <c r="DC48" s="388"/>
      <c r="DD48" s="388"/>
      <c r="DE48" s="388"/>
      <c r="DF48" s="353"/>
      <c r="DG48" s="353"/>
      <c r="DH48" s="353"/>
      <c r="DI48" s="353"/>
      <c r="DJ48" s="353"/>
      <c r="DK48" s="353"/>
      <c r="DL48" s="353"/>
      <c r="DM48" s="353"/>
      <c r="DN48" s="353"/>
      <c r="DO48" s="353"/>
      <c r="DP48" s="361"/>
      <c r="DQ48" s="362"/>
      <c r="DR48" s="362"/>
      <c r="DS48" s="362"/>
      <c r="DT48" s="362"/>
      <c r="DU48" s="362"/>
      <c r="DV48" s="362"/>
      <c r="DW48" s="362"/>
      <c r="DX48" s="362"/>
      <c r="DY48" s="362"/>
      <c r="DZ48" s="362"/>
      <c r="EA48" s="362"/>
      <c r="EB48" s="362"/>
      <c r="EC48" s="361">
        <f>EC44</f>
        <v>3273107.84</v>
      </c>
      <c r="ED48" s="362"/>
      <c r="EE48" s="362"/>
      <c r="EF48" s="362"/>
      <c r="EG48" s="362"/>
      <c r="EH48" s="362"/>
      <c r="EI48" s="362"/>
      <c r="EJ48" s="362"/>
      <c r="EK48" s="362"/>
      <c r="EL48" s="362"/>
      <c r="EM48" s="362"/>
      <c r="EN48" s="362"/>
      <c r="EO48" s="362"/>
      <c r="EP48" s="361"/>
      <c r="EQ48" s="362"/>
      <c r="ER48" s="362"/>
      <c r="ES48" s="362"/>
      <c r="ET48" s="362"/>
      <c r="EU48" s="362"/>
      <c r="EV48" s="362"/>
      <c r="EW48" s="362"/>
      <c r="EX48" s="362"/>
      <c r="EY48" s="362"/>
      <c r="EZ48" s="362"/>
      <c r="FA48" s="362"/>
      <c r="FB48" s="362"/>
      <c r="FC48" s="361"/>
      <c r="FD48" s="362"/>
      <c r="FE48" s="362"/>
      <c r="FF48" s="362"/>
      <c r="FG48" s="362"/>
      <c r="FH48" s="362"/>
      <c r="FI48" s="362"/>
      <c r="FJ48" s="362"/>
      <c r="FK48" s="362"/>
      <c r="FL48" s="362"/>
      <c r="FM48" s="362"/>
      <c r="FN48" s="362"/>
      <c r="FO48" s="362"/>
    </row>
    <row r="49" spans="1:171" ht="11.25" customHeight="1">
      <c r="A49" s="258"/>
      <c r="B49" s="256"/>
      <c r="C49" s="256"/>
      <c r="D49" s="256"/>
      <c r="E49" s="256"/>
      <c r="F49" s="256"/>
      <c r="G49" s="256"/>
      <c r="H49" s="257"/>
      <c r="I49" s="389">
        <v>2023</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0"/>
      <c r="BL49" s="390"/>
      <c r="BM49" s="390"/>
      <c r="BN49" s="390"/>
      <c r="BO49" s="390"/>
      <c r="BP49" s="390"/>
      <c r="BQ49" s="390"/>
      <c r="BR49" s="390"/>
      <c r="BS49" s="390"/>
      <c r="BT49" s="390"/>
      <c r="BU49" s="390"/>
      <c r="BV49" s="390"/>
      <c r="BW49" s="390"/>
      <c r="BX49" s="390"/>
      <c r="BY49" s="390"/>
      <c r="BZ49" s="390"/>
      <c r="CA49" s="390"/>
      <c r="CB49" s="390"/>
      <c r="CC49" s="390"/>
      <c r="CD49" s="390"/>
      <c r="CE49" s="390"/>
      <c r="CF49" s="390"/>
      <c r="CG49" s="390"/>
      <c r="CH49" s="390"/>
      <c r="CI49" s="390"/>
      <c r="CJ49" s="390"/>
      <c r="CK49" s="390"/>
      <c r="CL49" s="390"/>
      <c r="CM49" s="391"/>
      <c r="CN49" s="255"/>
      <c r="CO49" s="256"/>
      <c r="CP49" s="256"/>
      <c r="CQ49" s="256"/>
      <c r="CR49" s="256"/>
      <c r="CS49" s="256"/>
      <c r="CT49" s="256"/>
      <c r="CU49" s="257"/>
      <c r="CV49" s="393"/>
      <c r="CW49" s="394"/>
      <c r="CX49" s="394"/>
      <c r="CY49" s="394"/>
      <c r="CZ49" s="394"/>
      <c r="DA49" s="394"/>
      <c r="DB49" s="394"/>
      <c r="DC49" s="394"/>
      <c r="DD49" s="394"/>
      <c r="DE49" s="395"/>
      <c r="DF49" s="258"/>
      <c r="DG49" s="256"/>
      <c r="DH49" s="256"/>
      <c r="DI49" s="256"/>
      <c r="DJ49" s="256"/>
      <c r="DK49" s="256"/>
      <c r="DL49" s="256"/>
      <c r="DM49" s="256"/>
      <c r="DN49" s="256"/>
      <c r="DO49" s="257"/>
      <c r="DP49" s="335"/>
      <c r="DQ49" s="356"/>
      <c r="DR49" s="356"/>
      <c r="DS49" s="356"/>
      <c r="DT49" s="356"/>
      <c r="DU49" s="356"/>
      <c r="DV49" s="356"/>
      <c r="DW49" s="356"/>
      <c r="DX49" s="356"/>
      <c r="DY49" s="356"/>
      <c r="DZ49" s="356"/>
      <c r="EA49" s="356"/>
      <c r="EB49" s="363"/>
      <c r="EC49" s="335"/>
      <c r="ED49" s="356"/>
      <c r="EE49" s="356"/>
      <c r="EF49" s="356"/>
      <c r="EG49" s="356"/>
      <c r="EH49" s="356"/>
      <c r="EI49" s="356"/>
      <c r="EJ49" s="356"/>
      <c r="EK49" s="356"/>
      <c r="EL49" s="356"/>
      <c r="EM49" s="356"/>
      <c r="EN49" s="356"/>
      <c r="EO49" s="363"/>
      <c r="EP49" s="335">
        <f>EP44</f>
        <v>3273107.84</v>
      </c>
      <c r="EQ49" s="356"/>
      <c r="ER49" s="356"/>
      <c r="ES49" s="356"/>
      <c r="ET49" s="356"/>
      <c r="EU49" s="356"/>
      <c r="EV49" s="356"/>
      <c r="EW49" s="356"/>
      <c r="EX49" s="356"/>
      <c r="EY49" s="356"/>
      <c r="EZ49" s="356"/>
      <c r="FA49" s="356"/>
      <c r="FB49" s="363"/>
      <c r="FC49" s="335"/>
      <c r="FD49" s="356"/>
      <c r="FE49" s="356"/>
      <c r="FF49" s="356"/>
      <c r="FG49" s="356"/>
      <c r="FH49" s="356"/>
      <c r="FI49" s="356"/>
      <c r="FJ49" s="356"/>
      <c r="FK49" s="356"/>
      <c r="FL49" s="356"/>
      <c r="FM49" s="356"/>
      <c r="FN49" s="356"/>
      <c r="FO49" s="357"/>
    </row>
    <row r="50" spans="1:171" ht="11.25" customHeight="1">
      <c r="A50" s="258"/>
      <c r="B50" s="256"/>
      <c r="C50" s="256"/>
      <c r="D50" s="256"/>
      <c r="E50" s="256"/>
      <c r="F50" s="256"/>
      <c r="G50" s="256"/>
      <c r="H50" s="257"/>
      <c r="I50" s="389" t="s">
        <v>7</v>
      </c>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0"/>
      <c r="AY50" s="390"/>
      <c r="AZ50" s="390"/>
      <c r="BA50" s="390"/>
      <c r="BB50" s="390"/>
      <c r="BC50" s="390"/>
      <c r="BD50" s="390"/>
      <c r="BE50" s="390"/>
      <c r="BF50" s="390"/>
      <c r="BG50" s="390"/>
      <c r="BH50" s="390"/>
      <c r="BI50" s="390"/>
      <c r="BJ50" s="390"/>
      <c r="BK50" s="390"/>
      <c r="BL50" s="390"/>
      <c r="BM50" s="390"/>
      <c r="BN50" s="390"/>
      <c r="BO50" s="390"/>
      <c r="BP50" s="390"/>
      <c r="BQ50" s="390"/>
      <c r="BR50" s="390"/>
      <c r="BS50" s="390"/>
      <c r="BT50" s="390"/>
      <c r="BU50" s="390"/>
      <c r="BV50" s="390"/>
      <c r="BW50" s="390"/>
      <c r="BX50" s="390"/>
      <c r="BY50" s="390"/>
      <c r="BZ50" s="390"/>
      <c r="CA50" s="390"/>
      <c r="CB50" s="390"/>
      <c r="CC50" s="390"/>
      <c r="CD50" s="390"/>
      <c r="CE50" s="390"/>
      <c r="CF50" s="390"/>
      <c r="CG50" s="390"/>
      <c r="CH50" s="390"/>
      <c r="CI50" s="390"/>
      <c r="CJ50" s="390"/>
      <c r="CK50" s="390"/>
      <c r="CL50" s="390"/>
      <c r="CM50" s="391"/>
      <c r="CN50" s="255"/>
      <c r="CO50" s="256"/>
      <c r="CP50" s="256"/>
      <c r="CQ50" s="256"/>
      <c r="CR50" s="256"/>
      <c r="CS50" s="256"/>
      <c r="CT50" s="256"/>
      <c r="CU50" s="257"/>
      <c r="CV50" s="393"/>
      <c r="CW50" s="394"/>
      <c r="CX50" s="394"/>
      <c r="CY50" s="394"/>
      <c r="CZ50" s="394"/>
      <c r="DA50" s="394"/>
      <c r="DB50" s="394"/>
      <c r="DC50" s="394"/>
      <c r="DD50" s="394"/>
      <c r="DE50" s="395"/>
      <c r="DF50" s="258"/>
      <c r="DG50" s="256"/>
      <c r="DH50" s="256"/>
      <c r="DI50" s="256"/>
      <c r="DJ50" s="256"/>
      <c r="DK50" s="256"/>
      <c r="DL50" s="256"/>
      <c r="DM50" s="256"/>
      <c r="DN50" s="256"/>
      <c r="DO50" s="257"/>
      <c r="DP50" s="335"/>
      <c r="DQ50" s="356"/>
      <c r="DR50" s="356"/>
      <c r="DS50" s="356"/>
      <c r="DT50" s="356"/>
      <c r="DU50" s="356"/>
      <c r="DV50" s="356"/>
      <c r="DW50" s="356"/>
      <c r="DX50" s="356"/>
      <c r="DY50" s="356"/>
      <c r="DZ50" s="356"/>
      <c r="EA50" s="356"/>
      <c r="EB50" s="363"/>
      <c r="EC50" s="335"/>
      <c r="ED50" s="356"/>
      <c r="EE50" s="356"/>
      <c r="EF50" s="356"/>
      <c r="EG50" s="356"/>
      <c r="EH50" s="356"/>
      <c r="EI50" s="356"/>
      <c r="EJ50" s="356"/>
      <c r="EK50" s="356"/>
      <c r="EL50" s="356"/>
      <c r="EM50" s="356"/>
      <c r="EN50" s="356"/>
      <c r="EO50" s="363"/>
      <c r="EP50" s="335"/>
      <c r="EQ50" s="356"/>
      <c r="ER50" s="356"/>
      <c r="ES50" s="356"/>
      <c r="ET50" s="356"/>
      <c r="EU50" s="356"/>
      <c r="EV50" s="356"/>
      <c r="EW50" s="356"/>
      <c r="EX50" s="356"/>
      <c r="EY50" s="356"/>
      <c r="EZ50" s="356"/>
      <c r="FA50" s="356"/>
      <c r="FB50" s="363"/>
      <c r="FC50" s="335">
        <f>FC44</f>
        <v>483660.7</v>
      </c>
      <c r="FD50" s="356"/>
      <c r="FE50" s="356"/>
      <c r="FF50" s="356"/>
      <c r="FG50" s="356"/>
      <c r="FH50" s="356"/>
      <c r="FI50" s="356"/>
      <c r="FJ50" s="356"/>
      <c r="FK50" s="356"/>
      <c r="FL50" s="356"/>
      <c r="FM50" s="356"/>
      <c r="FN50" s="356"/>
      <c r="FO50" s="357"/>
    </row>
    <row r="51" spans="1:171" ht="24" customHeight="1">
      <c r="A51" s="258" t="s">
        <v>11</v>
      </c>
      <c r="B51" s="256"/>
      <c r="C51" s="256"/>
      <c r="D51" s="256"/>
      <c r="E51" s="256"/>
      <c r="F51" s="256"/>
      <c r="G51" s="256"/>
      <c r="H51" s="257"/>
      <c r="I51" s="392" t="s">
        <v>221</v>
      </c>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255" t="s">
        <v>222</v>
      </c>
      <c r="CO51" s="256"/>
      <c r="CP51" s="256"/>
      <c r="CQ51" s="256"/>
      <c r="CR51" s="256"/>
      <c r="CS51" s="256"/>
      <c r="CT51" s="256"/>
      <c r="CU51" s="257"/>
      <c r="CV51" s="258" t="s">
        <v>34</v>
      </c>
      <c r="CW51" s="256"/>
      <c r="CX51" s="256"/>
      <c r="CY51" s="256"/>
      <c r="CZ51" s="256"/>
      <c r="DA51" s="256"/>
      <c r="DB51" s="256"/>
      <c r="DC51" s="256"/>
      <c r="DD51" s="256"/>
      <c r="DE51" s="257"/>
      <c r="DF51" s="258"/>
      <c r="DG51" s="256"/>
      <c r="DH51" s="256"/>
      <c r="DI51" s="256"/>
      <c r="DJ51" s="256"/>
      <c r="DK51" s="256"/>
      <c r="DL51" s="256"/>
      <c r="DM51" s="256"/>
      <c r="DN51" s="256"/>
      <c r="DO51" s="257"/>
      <c r="DP51" s="335"/>
      <c r="DQ51" s="336"/>
      <c r="DR51" s="336"/>
      <c r="DS51" s="336"/>
      <c r="DT51" s="336"/>
      <c r="DU51" s="336"/>
      <c r="DV51" s="336"/>
      <c r="DW51" s="336"/>
      <c r="DX51" s="336"/>
      <c r="DY51" s="336"/>
      <c r="DZ51" s="336"/>
      <c r="EA51" s="336"/>
      <c r="EB51" s="337"/>
      <c r="EC51" s="335"/>
      <c r="ED51" s="336"/>
      <c r="EE51" s="336"/>
      <c r="EF51" s="336"/>
      <c r="EG51" s="336"/>
      <c r="EH51" s="336"/>
      <c r="EI51" s="336"/>
      <c r="EJ51" s="336"/>
      <c r="EK51" s="336"/>
      <c r="EL51" s="336"/>
      <c r="EM51" s="336"/>
      <c r="EN51" s="336"/>
      <c r="EO51" s="337"/>
      <c r="EP51" s="335"/>
      <c r="EQ51" s="336"/>
      <c r="ER51" s="336"/>
      <c r="ES51" s="336"/>
      <c r="ET51" s="336"/>
      <c r="EU51" s="336"/>
      <c r="EV51" s="336"/>
      <c r="EW51" s="336"/>
      <c r="EX51" s="336"/>
      <c r="EY51" s="336"/>
      <c r="EZ51" s="336"/>
      <c r="FA51" s="336"/>
      <c r="FB51" s="337"/>
      <c r="FC51" s="335"/>
      <c r="FD51" s="336"/>
      <c r="FE51" s="336"/>
      <c r="FF51" s="336"/>
      <c r="FG51" s="336"/>
      <c r="FH51" s="336"/>
      <c r="FI51" s="336"/>
      <c r="FJ51" s="336"/>
      <c r="FK51" s="336"/>
      <c r="FL51" s="336"/>
      <c r="FM51" s="336"/>
      <c r="FN51" s="336"/>
      <c r="FO51" s="338"/>
    </row>
    <row r="52" spans="1:171" ht="11.25" customHeight="1">
      <c r="A52" s="346"/>
      <c r="B52" s="347"/>
      <c r="C52" s="347"/>
      <c r="D52" s="347"/>
      <c r="E52" s="347"/>
      <c r="F52" s="347"/>
      <c r="G52" s="347"/>
      <c r="H52" s="348"/>
      <c r="I52" s="428" t="s">
        <v>219</v>
      </c>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c r="AO52" s="429"/>
      <c r="AP52" s="429"/>
      <c r="AQ52" s="429"/>
      <c r="AR52" s="429"/>
      <c r="AS52" s="429"/>
      <c r="AT52" s="429"/>
      <c r="AU52" s="429"/>
      <c r="AV52" s="429"/>
      <c r="AW52" s="429"/>
      <c r="AX52" s="429"/>
      <c r="AY52" s="429"/>
      <c r="AZ52" s="429"/>
      <c r="BA52" s="429"/>
      <c r="BB52" s="429"/>
      <c r="BC52" s="429"/>
      <c r="BD52" s="429"/>
      <c r="BE52" s="429"/>
      <c r="BF52" s="429"/>
      <c r="BG52" s="429"/>
      <c r="BH52" s="429"/>
      <c r="BI52" s="429"/>
      <c r="BJ52" s="429"/>
      <c r="BK52" s="429"/>
      <c r="BL52" s="429"/>
      <c r="BM52" s="429"/>
      <c r="BN52" s="429"/>
      <c r="BO52" s="429"/>
      <c r="BP52" s="429"/>
      <c r="BQ52" s="429"/>
      <c r="BR52" s="429"/>
      <c r="BS52" s="429"/>
      <c r="BT52" s="429"/>
      <c r="BU52" s="429"/>
      <c r="BV52" s="429"/>
      <c r="BW52" s="429"/>
      <c r="BX52" s="429"/>
      <c r="BY52" s="429"/>
      <c r="BZ52" s="429"/>
      <c r="CA52" s="429"/>
      <c r="CB52" s="429"/>
      <c r="CC52" s="429"/>
      <c r="CD52" s="429"/>
      <c r="CE52" s="429"/>
      <c r="CF52" s="429"/>
      <c r="CG52" s="429"/>
      <c r="CH52" s="429"/>
      <c r="CI52" s="429"/>
      <c r="CJ52" s="429"/>
      <c r="CK52" s="429"/>
      <c r="CL52" s="429"/>
      <c r="CM52" s="430"/>
      <c r="CN52" s="424" t="s">
        <v>223</v>
      </c>
      <c r="CO52" s="347"/>
      <c r="CP52" s="347"/>
      <c r="CQ52" s="347"/>
      <c r="CR52" s="347"/>
      <c r="CS52" s="347"/>
      <c r="CT52" s="347"/>
      <c r="CU52" s="348"/>
      <c r="CV52" s="346"/>
      <c r="CW52" s="347"/>
      <c r="CX52" s="347"/>
      <c r="CY52" s="347"/>
      <c r="CZ52" s="347"/>
      <c r="DA52" s="347"/>
      <c r="DB52" s="347"/>
      <c r="DC52" s="347"/>
      <c r="DD52" s="347"/>
      <c r="DE52" s="348"/>
      <c r="DF52" s="346"/>
      <c r="DG52" s="347"/>
      <c r="DH52" s="347"/>
      <c r="DI52" s="347"/>
      <c r="DJ52" s="347"/>
      <c r="DK52" s="347"/>
      <c r="DL52" s="347"/>
      <c r="DM52" s="347"/>
      <c r="DN52" s="347"/>
      <c r="DO52" s="348"/>
      <c r="DP52" s="396"/>
      <c r="DQ52" s="397"/>
      <c r="DR52" s="397"/>
      <c r="DS52" s="397"/>
      <c r="DT52" s="397"/>
      <c r="DU52" s="397"/>
      <c r="DV52" s="397"/>
      <c r="DW52" s="397"/>
      <c r="DX52" s="397"/>
      <c r="DY52" s="397"/>
      <c r="DZ52" s="397"/>
      <c r="EA52" s="397"/>
      <c r="EB52" s="398"/>
      <c r="EC52" s="396"/>
      <c r="ED52" s="397"/>
      <c r="EE52" s="397"/>
      <c r="EF52" s="397"/>
      <c r="EG52" s="397"/>
      <c r="EH52" s="397"/>
      <c r="EI52" s="397"/>
      <c r="EJ52" s="397"/>
      <c r="EK52" s="397"/>
      <c r="EL52" s="397"/>
      <c r="EM52" s="397"/>
      <c r="EN52" s="397"/>
      <c r="EO52" s="398"/>
      <c r="EP52" s="396"/>
      <c r="EQ52" s="397"/>
      <c r="ER52" s="397"/>
      <c r="ES52" s="397"/>
      <c r="ET52" s="397"/>
      <c r="EU52" s="397"/>
      <c r="EV52" s="397"/>
      <c r="EW52" s="397"/>
      <c r="EX52" s="397"/>
      <c r="EY52" s="397"/>
      <c r="EZ52" s="397"/>
      <c r="FA52" s="397"/>
      <c r="FB52" s="398"/>
      <c r="FC52" s="396"/>
      <c r="FD52" s="397"/>
      <c r="FE52" s="397"/>
      <c r="FF52" s="397"/>
      <c r="FG52" s="397"/>
      <c r="FH52" s="397"/>
      <c r="FI52" s="397"/>
      <c r="FJ52" s="397"/>
      <c r="FK52" s="397"/>
      <c r="FL52" s="397"/>
      <c r="FM52" s="397"/>
      <c r="FN52" s="397"/>
      <c r="FO52" s="426"/>
    </row>
    <row r="53" spans="1:171" ht="12" customHeight="1" thickBot="1">
      <c r="A53" s="269"/>
      <c r="B53" s="267"/>
      <c r="C53" s="267"/>
      <c r="D53" s="267"/>
      <c r="E53" s="267"/>
      <c r="F53" s="267"/>
      <c r="G53" s="267"/>
      <c r="H53" s="268"/>
      <c r="I53" s="406"/>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7"/>
      <c r="BV53" s="407"/>
      <c r="BW53" s="407"/>
      <c r="BX53" s="407"/>
      <c r="BY53" s="407"/>
      <c r="BZ53" s="407"/>
      <c r="CA53" s="407"/>
      <c r="CB53" s="407"/>
      <c r="CC53" s="407"/>
      <c r="CD53" s="407"/>
      <c r="CE53" s="407"/>
      <c r="CF53" s="407"/>
      <c r="CG53" s="407"/>
      <c r="CH53" s="407"/>
      <c r="CI53" s="407"/>
      <c r="CJ53" s="407"/>
      <c r="CK53" s="407"/>
      <c r="CL53" s="407"/>
      <c r="CM53" s="407"/>
      <c r="CN53" s="425"/>
      <c r="CO53" s="350"/>
      <c r="CP53" s="350"/>
      <c r="CQ53" s="350"/>
      <c r="CR53" s="350"/>
      <c r="CS53" s="350"/>
      <c r="CT53" s="350"/>
      <c r="CU53" s="351"/>
      <c r="CV53" s="349"/>
      <c r="CW53" s="350"/>
      <c r="CX53" s="350"/>
      <c r="CY53" s="350"/>
      <c r="CZ53" s="350"/>
      <c r="DA53" s="350"/>
      <c r="DB53" s="350"/>
      <c r="DC53" s="350"/>
      <c r="DD53" s="350"/>
      <c r="DE53" s="351"/>
      <c r="DF53" s="349"/>
      <c r="DG53" s="350"/>
      <c r="DH53" s="350"/>
      <c r="DI53" s="350"/>
      <c r="DJ53" s="350"/>
      <c r="DK53" s="350"/>
      <c r="DL53" s="350"/>
      <c r="DM53" s="350"/>
      <c r="DN53" s="350"/>
      <c r="DO53" s="351"/>
      <c r="DP53" s="399"/>
      <c r="DQ53" s="400"/>
      <c r="DR53" s="400"/>
      <c r="DS53" s="400"/>
      <c r="DT53" s="400"/>
      <c r="DU53" s="400"/>
      <c r="DV53" s="400"/>
      <c r="DW53" s="400"/>
      <c r="DX53" s="400"/>
      <c r="DY53" s="400"/>
      <c r="DZ53" s="400"/>
      <c r="EA53" s="400"/>
      <c r="EB53" s="401"/>
      <c r="EC53" s="399"/>
      <c r="ED53" s="400"/>
      <c r="EE53" s="400"/>
      <c r="EF53" s="400"/>
      <c r="EG53" s="400"/>
      <c r="EH53" s="400"/>
      <c r="EI53" s="400"/>
      <c r="EJ53" s="400"/>
      <c r="EK53" s="400"/>
      <c r="EL53" s="400"/>
      <c r="EM53" s="400"/>
      <c r="EN53" s="400"/>
      <c r="EO53" s="401"/>
      <c r="EP53" s="399"/>
      <c r="EQ53" s="400"/>
      <c r="ER53" s="400"/>
      <c r="ES53" s="400"/>
      <c r="ET53" s="400"/>
      <c r="EU53" s="400"/>
      <c r="EV53" s="400"/>
      <c r="EW53" s="400"/>
      <c r="EX53" s="400"/>
      <c r="EY53" s="400"/>
      <c r="EZ53" s="400"/>
      <c r="FA53" s="400"/>
      <c r="FB53" s="401"/>
      <c r="FC53" s="399"/>
      <c r="FD53" s="400"/>
      <c r="FE53" s="400"/>
      <c r="FF53" s="400"/>
      <c r="FG53" s="400"/>
      <c r="FH53" s="400"/>
      <c r="FI53" s="400"/>
      <c r="FJ53" s="400"/>
      <c r="FK53" s="400"/>
      <c r="FL53" s="400"/>
      <c r="FM53" s="400"/>
      <c r="FN53" s="400"/>
      <c r="FO53" s="427"/>
    </row>
    <row r="54" spans="110:119" ht="4.5" customHeight="1">
      <c r="DF54" s="344"/>
      <c r="DG54" s="345"/>
      <c r="DH54" s="345"/>
      <c r="DI54" s="345"/>
      <c r="DJ54" s="345"/>
      <c r="DK54" s="345"/>
      <c r="DL54" s="345"/>
      <c r="DM54" s="345"/>
      <c r="DN54" s="345"/>
      <c r="DO54" s="345"/>
    </row>
    <row r="55" spans="9:119" ht="12">
      <c r="I55" s="23" t="s">
        <v>224</v>
      </c>
      <c r="DF55" s="344"/>
      <c r="DG55" s="345"/>
      <c r="DH55" s="345"/>
      <c r="DI55" s="345"/>
      <c r="DJ55" s="345"/>
      <c r="DK55" s="345"/>
      <c r="DL55" s="345"/>
      <c r="DM55" s="345"/>
      <c r="DN55" s="345"/>
      <c r="DO55" s="345"/>
    </row>
    <row r="56" spans="9:119" ht="12">
      <c r="I56" s="23" t="s">
        <v>225</v>
      </c>
      <c r="AQ56" s="404" t="s">
        <v>528</v>
      </c>
      <c r="AR56" s="405"/>
      <c r="AS56" s="405"/>
      <c r="AT56" s="405"/>
      <c r="AU56" s="405"/>
      <c r="AV56" s="405"/>
      <c r="AW56" s="405"/>
      <c r="AX56" s="405"/>
      <c r="AY56" s="405"/>
      <c r="AZ56" s="405"/>
      <c r="BA56" s="405"/>
      <c r="BB56" s="405"/>
      <c r="BC56" s="405"/>
      <c r="BD56" s="405"/>
      <c r="BE56" s="405"/>
      <c r="BF56" s="405"/>
      <c r="BG56" s="405"/>
      <c r="BH56" s="405"/>
      <c r="BI56" s="80"/>
      <c r="BJ56" s="80"/>
      <c r="BK56" s="404"/>
      <c r="BL56" s="405"/>
      <c r="BM56" s="405"/>
      <c r="BN56" s="405"/>
      <c r="BO56" s="405"/>
      <c r="BP56" s="405"/>
      <c r="BQ56" s="405"/>
      <c r="BR56" s="405"/>
      <c r="BS56" s="405"/>
      <c r="BT56" s="405"/>
      <c r="BU56" s="405"/>
      <c r="BV56" s="405"/>
      <c r="BW56" s="80"/>
      <c r="BX56" s="80"/>
      <c r="BY56" s="404" t="s">
        <v>554</v>
      </c>
      <c r="BZ56" s="405"/>
      <c r="CA56" s="405"/>
      <c r="CB56" s="405"/>
      <c r="CC56" s="405"/>
      <c r="CD56" s="405"/>
      <c r="CE56" s="405"/>
      <c r="CF56" s="405"/>
      <c r="CG56" s="405"/>
      <c r="CH56" s="405"/>
      <c r="CI56" s="405"/>
      <c r="CJ56" s="405"/>
      <c r="CK56" s="405"/>
      <c r="CL56" s="405"/>
      <c r="CM56" s="405"/>
      <c r="CN56" s="405"/>
      <c r="CO56" s="405"/>
      <c r="CP56" s="405"/>
      <c r="CQ56" s="405"/>
      <c r="CR56" s="405"/>
      <c r="DF56" s="344"/>
      <c r="DG56" s="344"/>
      <c r="DH56" s="344"/>
      <c r="DI56" s="344"/>
      <c r="DJ56" s="344"/>
      <c r="DK56" s="344"/>
      <c r="DL56" s="344"/>
      <c r="DM56" s="344"/>
      <c r="DN56" s="344"/>
      <c r="DO56" s="344"/>
    </row>
    <row r="57" spans="43:119" s="81" customFormat="1" ht="11.25">
      <c r="AQ57" s="413" t="s">
        <v>226</v>
      </c>
      <c r="AR57" s="413"/>
      <c r="AS57" s="413"/>
      <c r="AT57" s="413"/>
      <c r="AU57" s="413"/>
      <c r="AV57" s="413"/>
      <c r="AW57" s="413"/>
      <c r="AX57" s="413"/>
      <c r="AY57" s="413"/>
      <c r="AZ57" s="413"/>
      <c r="BA57" s="413"/>
      <c r="BB57" s="413"/>
      <c r="BC57" s="413"/>
      <c r="BD57" s="413"/>
      <c r="BE57" s="413"/>
      <c r="BF57" s="413"/>
      <c r="BG57" s="413"/>
      <c r="BH57" s="413"/>
      <c r="BK57" s="413" t="s">
        <v>17</v>
      </c>
      <c r="BL57" s="413"/>
      <c r="BM57" s="413"/>
      <c r="BN57" s="413"/>
      <c r="BO57" s="413"/>
      <c r="BP57" s="413"/>
      <c r="BQ57" s="413"/>
      <c r="BR57" s="413"/>
      <c r="BS57" s="413"/>
      <c r="BT57" s="413"/>
      <c r="BU57" s="413"/>
      <c r="BV57" s="413"/>
      <c r="BY57" s="413" t="s">
        <v>18</v>
      </c>
      <c r="BZ57" s="413"/>
      <c r="CA57" s="413"/>
      <c r="CB57" s="413"/>
      <c r="CC57" s="413"/>
      <c r="CD57" s="413"/>
      <c r="CE57" s="413"/>
      <c r="CF57" s="413"/>
      <c r="CG57" s="413"/>
      <c r="CH57" s="413"/>
      <c r="CI57" s="413"/>
      <c r="CJ57" s="413"/>
      <c r="CK57" s="413"/>
      <c r="CL57" s="413"/>
      <c r="CM57" s="413"/>
      <c r="CN57" s="413"/>
      <c r="CO57" s="413"/>
      <c r="CP57" s="413"/>
      <c r="CQ57" s="413"/>
      <c r="CR57" s="413"/>
      <c r="DF57" s="352"/>
      <c r="DG57" s="352"/>
      <c r="DH57" s="352"/>
      <c r="DI57" s="352"/>
      <c r="DJ57" s="352"/>
      <c r="DK57" s="352"/>
      <c r="DL57" s="352"/>
      <c r="DM57" s="352"/>
      <c r="DN57" s="352"/>
      <c r="DO57" s="352"/>
    </row>
    <row r="58" spans="43:119" s="81" customFormat="1" ht="3" customHeight="1">
      <c r="AQ58" s="82"/>
      <c r="AR58" s="82"/>
      <c r="AS58" s="82"/>
      <c r="AT58" s="82"/>
      <c r="AU58" s="82"/>
      <c r="AV58" s="82"/>
      <c r="AW58" s="82"/>
      <c r="AX58" s="82"/>
      <c r="AY58" s="82"/>
      <c r="AZ58" s="82"/>
      <c r="BA58" s="82"/>
      <c r="BB58" s="82"/>
      <c r="BC58" s="82"/>
      <c r="BD58" s="82"/>
      <c r="BE58" s="82"/>
      <c r="BF58" s="82"/>
      <c r="BG58" s="82"/>
      <c r="BH58" s="82"/>
      <c r="BK58" s="82"/>
      <c r="BL58" s="82"/>
      <c r="BM58" s="82"/>
      <c r="BN58" s="82"/>
      <c r="BO58" s="82"/>
      <c r="BP58" s="82"/>
      <c r="BQ58" s="82"/>
      <c r="BR58" s="82"/>
      <c r="BS58" s="82"/>
      <c r="BT58" s="82"/>
      <c r="BU58" s="82"/>
      <c r="BV58" s="82"/>
      <c r="BY58" s="82"/>
      <c r="BZ58" s="82"/>
      <c r="CA58" s="82"/>
      <c r="CB58" s="82"/>
      <c r="CC58" s="82"/>
      <c r="CD58" s="82"/>
      <c r="CE58" s="82"/>
      <c r="CF58" s="82"/>
      <c r="CG58" s="82"/>
      <c r="CH58" s="82"/>
      <c r="CI58" s="82"/>
      <c r="CJ58" s="82"/>
      <c r="CK58" s="82"/>
      <c r="CL58" s="82"/>
      <c r="CM58" s="82"/>
      <c r="CN58" s="82"/>
      <c r="CO58" s="82"/>
      <c r="CP58" s="82"/>
      <c r="CQ58" s="82"/>
      <c r="CR58" s="82"/>
      <c r="DF58" s="352"/>
      <c r="DG58" s="352"/>
      <c r="DH58" s="352"/>
      <c r="DI58" s="352"/>
      <c r="DJ58" s="352"/>
      <c r="DK58" s="352"/>
      <c r="DL58" s="352"/>
      <c r="DM58" s="352"/>
      <c r="DN58" s="352"/>
      <c r="DO58" s="352"/>
    </row>
    <row r="59" spans="9:119" ht="11.25">
      <c r="I59" s="23" t="s">
        <v>227</v>
      </c>
      <c r="AM59" s="404" t="s">
        <v>350</v>
      </c>
      <c r="AN59" s="405"/>
      <c r="AO59" s="405"/>
      <c r="AP59" s="405"/>
      <c r="AQ59" s="405"/>
      <c r="AR59" s="405"/>
      <c r="AS59" s="405"/>
      <c r="AT59" s="405"/>
      <c r="AU59" s="405"/>
      <c r="AV59" s="405"/>
      <c r="AW59" s="405"/>
      <c r="AX59" s="405"/>
      <c r="AY59" s="405"/>
      <c r="AZ59" s="405"/>
      <c r="BA59" s="405"/>
      <c r="BB59" s="405"/>
      <c r="BC59" s="405"/>
      <c r="BD59" s="405"/>
      <c r="BE59" s="80"/>
      <c r="BF59" s="80"/>
      <c r="BG59" s="404" t="s">
        <v>405</v>
      </c>
      <c r="BH59" s="405"/>
      <c r="BI59" s="405"/>
      <c r="BJ59" s="405"/>
      <c r="BK59" s="405"/>
      <c r="BL59" s="405"/>
      <c r="BM59" s="405"/>
      <c r="BN59" s="405"/>
      <c r="BO59" s="405"/>
      <c r="BP59" s="405"/>
      <c r="BQ59" s="405"/>
      <c r="BR59" s="405"/>
      <c r="BS59" s="405"/>
      <c r="BT59" s="405"/>
      <c r="BU59" s="405"/>
      <c r="BV59" s="405"/>
      <c r="BW59" s="405"/>
      <c r="BX59" s="405"/>
      <c r="BY59" s="80"/>
      <c r="BZ59" s="80"/>
      <c r="CA59" s="419" t="s">
        <v>406</v>
      </c>
      <c r="CB59" s="420"/>
      <c r="CC59" s="420"/>
      <c r="CD59" s="420"/>
      <c r="CE59" s="420"/>
      <c r="CF59" s="420"/>
      <c r="CG59" s="420"/>
      <c r="CH59" s="420"/>
      <c r="CI59" s="420"/>
      <c r="CJ59" s="420"/>
      <c r="CK59" s="420"/>
      <c r="CL59" s="420"/>
      <c r="CM59" s="420"/>
      <c r="CN59" s="420"/>
      <c r="CO59" s="420"/>
      <c r="CP59" s="420"/>
      <c r="CQ59" s="420"/>
      <c r="CR59" s="420"/>
      <c r="DF59" s="352"/>
      <c r="DG59" s="352"/>
      <c r="DH59" s="352"/>
      <c r="DI59" s="352"/>
      <c r="DJ59" s="352"/>
      <c r="DK59" s="352"/>
      <c r="DL59" s="352"/>
      <c r="DM59" s="352"/>
      <c r="DN59" s="352"/>
      <c r="DO59" s="352"/>
    </row>
    <row r="60" spans="39:119" s="81" customFormat="1" ht="11.25">
      <c r="AM60" s="413" t="s">
        <v>226</v>
      </c>
      <c r="AN60" s="413"/>
      <c r="AO60" s="413"/>
      <c r="AP60" s="413"/>
      <c r="AQ60" s="413"/>
      <c r="AR60" s="413"/>
      <c r="AS60" s="413"/>
      <c r="AT60" s="413"/>
      <c r="AU60" s="413"/>
      <c r="AV60" s="413"/>
      <c r="AW60" s="413"/>
      <c r="AX60" s="413"/>
      <c r="AY60" s="413"/>
      <c r="AZ60" s="413"/>
      <c r="BA60" s="413"/>
      <c r="BB60" s="413"/>
      <c r="BC60" s="413"/>
      <c r="BD60" s="413"/>
      <c r="BG60" s="413" t="s">
        <v>228</v>
      </c>
      <c r="BH60" s="413"/>
      <c r="BI60" s="413"/>
      <c r="BJ60" s="413"/>
      <c r="BK60" s="413"/>
      <c r="BL60" s="413"/>
      <c r="BM60" s="413"/>
      <c r="BN60" s="413"/>
      <c r="BO60" s="413"/>
      <c r="BP60" s="413"/>
      <c r="BQ60" s="413"/>
      <c r="BR60" s="413"/>
      <c r="BS60" s="413"/>
      <c r="BT60" s="413"/>
      <c r="BU60" s="413"/>
      <c r="BV60" s="413"/>
      <c r="BW60" s="413"/>
      <c r="BX60" s="413"/>
      <c r="CA60" s="413" t="s">
        <v>229</v>
      </c>
      <c r="CB60" s="413"/>
      <c r="CC60" s="413"/>
      <c r="CD60" s="413"/>
      <c r="CE60" s="413"/>
      <c r="CF60" s="413"/>
      <c r="CG60" s="413"/>
      <c r="CH60" s="413"/>
      <c r="CI60" s="413"/>
      <c r="CJ60" s="413"/>
      <c r="CK60" s="413"/>
      <c r="CL60" s="413"/>
      <c r="CM60" s="413"/>
      <c r="CN60" s="413"/>
      <c r="CO60" s="413"/>
      <c r="CP60" s="413"/>
      <c r="CQ60" s="413"/>
      <c r="CR60" s="413"/>
      <c r="DF60" s="23"/>
      <c r="DG60" s="23"/>
      <c r="DH60" s="23"/>
      <c r="DI60" s="23"/>
      <c r="DJ60" s="23"/>
      <c r="DK60" s="23"/>
      <c r="DL60" s="23"/>
      <c r="DM60" s="23"/>
      <c r="DN60" s="23"/>
      <c r="DO60" s="23"/>
    </row>
    <row r="61" spans="39:119" s="81" customFormat="1" ht="3" customHeight="1">
      <c r="AM61" s="82"/>
      <c r="AN61" s="82"/>
      <c r="AO61" s="82"/>
      <c r="AP61" s="82"/>
      <c r="AQ61" s="82"/>
      <c r="AR61" s="82"/>
      <c r="AS61" s="82"/>
      <c r="AT61" s="82"/>
      <c r="AU61" s="82"/>
      <c r="AV61" s="82"/>
      <c r="AW61" s="82"/>
      <c r="AX61" s="82"/>
      <c r="AY61" s="82"/>
      <c r="AZ61" s="82"/>
      <c r="BA61" s="82"/>
      <c r="BB61" s="82"/>
      <c r="BC61" s="82"/>
      <c r="BD61" s="82"/>
      <c r="BG61" s="82"/>
      <c r="BH61" s="82"/>
      <c r="BI61" s="82"/>
      <c r="BJ61" s="82"/>
      <c r="BK61" s="82"/>
      <c r="BL61" s="82"/>
      <c r="BM61" s="82"/>
      <c r="BN61" s="82"/>
      <c r="BO61" s="82"/>
      <c r="BP61" s="82"/>
      <c r="BQ61" s="82"/>
      <c r="BR61" s="82"/>
      <c r="BS61" s="82"/>
      <c r="BT61" s="82"/>
      <c r="BU61" s="82"/>
      <c r="BV61" s="82"/>
      <c r="BW61" s="82"/>
      <c r="BX61" s="82"/>
      <c r="CA61" s="82"/>
      <c r="CB61" s="82"/>
      <c r="CC61" s="82"/>
      <c r="CD61" s="82"/>
      <c r="CE61" s="82"/>
      <c r="CF61" s="82"/>
      <c r="CG61" s="82"/>
      <c r="CH61" s="82"/>
      <c r="CI61" s="82"/>
      <c r="CJ61" s="82"/>
      <c r="CK61" s="82"/>
      <c r="CL61" s="82"/>
      <c r="CM61" s="82"/>
      <c r="CN61" s="82"/>
      <c r="CO61" s="82"/>
      <c r="CP61" s="82"/>
      <c r="CQ61" s="82"/>
      <c r="CR61" s="82"/>
      <c r="DF61" s="23"/>
      <c r="DG61" s="23"/>
      <c r="DH61" s="23"/>
      <c r="DI61" s="23"/>
      <c r="DJ61" s="23"/>
      <c r="DK61" s="23"/>
      <c r="DL61" s="23"/>
      <c r="DM61" s="23"/>
      <c r="DN61" s="23"/>
      <c r="DO61" s="23"/>
    </row>
    <row r="62" spans="8:39" ht="11.25">
      <c r="H62" s="411" t="str">
        <f>'стр.1'!BG26</f>
        <v>от  "31" декабря 2021г.</v>
      </c>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row>
    <row r="63" spans="110:119" ht="8.25" customHeight="1" thickBot="1">
      <c r="DF63" s="81"/>
      <c r="DG63" s="81"/>
      <c r="DH63" s="81"/>
      <c r="DI63" s="81"/>
      <c r="DJ63" s="81"/>
      <c r="DK63" s="81"/>
      <c r="DL63" s="81"/>
      <c r="DM63" s="81"/>
      <c r="DN63" s="81"/>
      <c r="DO63" s="81"/>
    </row>
    <row r="64" spans="1:119" ht="3"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4"/>
      <c r="DF64" s="81"/>
      <c r="DG64" s="81"/>
      <c r="DH64" s="81"/>
      <c r="DI64" s="81"/>
      <c r="DJ64" s="81"/>
      <c r="DK64" s="81"/>
      <c r="DL64" s="81"/>
      <c r="DM64" s="81"/>
      <c r="DN64" s="81"/>
      <c r="DO64" s="81"/>
    </row>
    <row r="65" spans="1:91" ht="11.25">
      <c r="A65" s="85" t="s">
        <v>230</v>
      </c>
      <c r="CM65" s="86"/>
    </row>
    <row r="66" spans="1:119" ht="11.25">
      <c r="A66" s="421" t="s">
        <v>510</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422"/>
      <c r="BE66" s="422"/>
      <c r="BF66" s="422"/>
      <c r="BG66" s="422"/>
      <c r="BH66" s="422"/>
      <c r="BI66" s="422"/>
      <c r="BJ66" s="422"/>
      <c r="BK66" s="422"/>
      <c r="BL66" s="422"/>
      <c r="BM66" s="422"/>
      <c r="BN66" s="422"/>
      <c r="BO66" s="422"/>
      <c r="BP66" s="422"/>
      <c r="BQ66" s="422"/>
      <c r="BR66" s="422"/>
      <c r="BS66" s="422"/>
      <c r="BT66" s="422"/>
      <c r="BU66" s="422"/>
      <c r="BV66" s="422"/>
      <c r="BW66" s="422"/>
      <c r="BX66" s="422"/>
      <c r="BY66" s="422"/>
      <c r="BZ66" s="422"/>
      <c r="CA66" s="422"/>
      <c r="CB66" s="422"/>
      <c r="CC66" s="422"/>
      <c r="CD66" s="422"/>
      <c r="CE66" s="422"/>
      <c r="CF66" s="422"/>
      <c r="CG66" s="422"/>
      <c r="CH66" s="422"/>
      <c r="CI66" s="422"/>
      <c r="CJ66" s="422"/>
      <c r="CK66" s="422"/>
      <c r="CL66" s="422"/>
      <c r="CM66" s="423"/>
      <c r="DF66" s="81"/>
      <c r="DG66" s="81"/>
      <c r="DH66" s="81"/>
      <c r="DI66" s="81"/>
      <c r="DJ66" s="81"/>
      <c r="DK66" s="81"/>
      <c r="DL66" s="81"/>
      <c r="DM66" s="81"/>
      <c r="DN66" s="81"/>
      <c r="DO66" s="81"/>
    </row>
    <row r="67" spans="1:91" s="81" customFormat="1" ht="8.25">
      <c r="A67" s="412" t="s">
        <v>231</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c r="AY67" s="413"/>
      <c r="AZ67" s="413"/>
      <c r="BA67" s="413"/>
      <c r="BB67" s="413"/>
      <c r="BC67" s="413"/>
      <c r="BD67" s="413"/>
      <c r="BE67" s="413"/>
      <c r="BF67" s="413"/>
      <c r="BG67" s="413"/>
      <c r="BH67" s="413"/>
      <c r="BI67" s="413"/>
      <c r="BJ67" s="413"/>
      <c r="BK67" s="413"/>
      <c r="BL67" s="413"/>
      <c r="BM67" s="413"/>
      <c r="BN67" s="413"/>
      <c r="BO67" s="413"/>
      <c r="BP67" s="413"/>
      <c r="BQ67" s="413"/>
      <c r="BR67" s="413"/>
      <c r="BS67" s="413"/>
      <c r="BT67" s="413"/>
      <c r="BU67" s="413"/>
      <c r="BV67" s="413"/>
      <c r="BW67" s="413"/>
      <c r="BX67" s="413"/>
      <c r="BY67" s="413"/>
      <c r="BZ67" s="413"/>
      <c r="CA67" s="413"/>
      <c r="CB67" s="413"/>
      <c r="CC67" s="413"/>
      <c r="CD67" s="413"/>
      <c r="CE67" s="413"/>
      <c r="CF67" s="413"/>
      <c r="CG67" s="413"/>
      <c r="CH67" s="413"/>
      <c r="CI67" s="413"/>
      <c r="CJ67" s="413"/>
      <c r="CK67" s="413"/>
      <c r="CL67" s="413"/>
      <c r="CM67" s="414"/>
    </row>
    <row r="68" spans="1:119" s="81" customFormat="1" ht="6" customHeight="1">
      <c r="A68" s="87"/>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8"/>
      <c r="DF68" s="23"/>
      <c r="DG68" s="23"/>
      <c r="DH68" s="23"/>
      <c r="DI68" s="23"/>
      <c r="DJ68" s="23"/>
      <c r="DK68" s="23"/>
      <c r="DL68" s="23"/>
      <c r="DM68" s="23"/>
      <c r="DN68" s="23"/>
      <c r="DO68" s="23"/>
    </row>
    <row r="69" spans="1:91" ht="11.25">
      <c r="A69" s="417"/>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AH69" s="404" t="s">
        <v>507</v>
      </c>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c r="BF69" s="405"/>
      <c r="BG69" s="405"/>
      <c r="BH69" s="405"/>
      <c r="BI69" s="405"/>
      <c r="BJ69" s="405"/>
      <c r="BK69" s="405"/>
      <c r="BL69" s="405"/>
      <c r="BM69" s="405"/>
      <c r="BN69" s="405"/>
      <c r="BO69" s="405"/>
      <c r="BP69" s="405"/>
      <c r="BQ69" s="405"/>
      <c r="BR69" s="405"/>
      <c r="BS69" s="405"/>
      <c r="BT69" s="405"/>
      <c r="BU69" s="405"/>
      <c r="BV69" s="405"/>
      <c r="BW69" s="405"/>
      <c r="BX69" s="405"/>
      <c r="BY69" s="405"/>
      <c r="BZ69" s="405"/>
      <c r="CA69" s="405"/>
      <c r="CB69" s="405"/>
      <c r="CC69" s="405"/>
      <c r="CD69" s="405"/>
      <c r="CE69" s="405"/>
      <c r="CF69" s="405"/>
      <c r="CG69" s="405"/>
      <c r="CH69" s="405"/>
      <c r="CI69" s="405"/>
      <c r="CJ69" s="405"/>
      <c r="CK69" s="405"/>
      <c r="CL69" s="405"/>
      <c r="CM69" s="418"/>
    </row>
    <row r="70" spans="1:119" s="81" customFormat="1" ht="11.25">
      <c r="A70" s="412" t="s">
        <v>17</v>
      </c>
      <c r="B70" s="413"/>
      <c r="C70" s="413"/>
      <c r="D70" s="413"/>
      <c r="E70" s="413"/>
      <c r="F70" s="413"/>
      <c r="G70" s="413"/>
      <c r="H70" s="413"/>
      <c r="I70" s="413"/>
      <c r="J70" s="413"/>
      <c r="K70" s="413"/>
      <c r="L70" s="413"/>
      <c r="M70" s="413"/>
      <c r="N70" s="413"/>
      <c r="O70" s="413"/>
      <c r="P70" s="413"/>
      <c r="Q70" s="413"/>
      <c r="R70" s="413"/>
      <c r="S70" s="413"/>
      <c r="T70" s="413"/>
      <c r="U70" s="413"/>
      <c r="V70" s="413"/>
      <c r="W70" s="413"/>
      <c r="X70" s="413"/>
      <c r="Y70" s="413"/>
      <c r="AH70" s="413" t="s">
        <v>18</v>
      </c>
      <c r="AI70" s="413"/>
      <c r="AJ70" s="413"/>
      <c r="AK70" s="413"/>
      <c r="AL70" s="413"/>
      <c r="AM70" s="413"/>
      <c r="AN70" s="413"/>
      <c r="AO70" s="413"/>
      <c r="AP70" s="413"/>
      <c r="AQ70" s="413"/>
      <c r="AR70" s="413"/>
      <c r="AS70" s="413"/>
      <c r="AT70" s="413"/>
      <c r="AU70" s="413"/>
      <c r="AV70" s="413"/>
      <c r="AW70" s="413"/>
      <c r="AX70" s="413"/>
      <c r="AY70" s="413"/>
      <c r="AZ70" s="413"/>
      <c r="BA70" s="413"/>
      <c r="BB70" s="413"/>
      <c r="BC70" s="413"/>
      <c r="BD70" s="413"/>
      <c r="BE70" s="413"/>
      <c r="BF70" s="413"/>
      <c r="BG70" s="413"/>
      <c r="BH70" s="413"/>
      <c r="BI70" s="413"/>
      <c r="BJ70" s="413"/>
      <c r="BK70" s="413"/>
      <c r="BL70" s="413"/>
      <c r="BM70" s="413"/>
      <c r="BN70" s="413"/>
      <c r="BO70" s="413"/>
      <c r="BP70" s="413"/>
      <c r="BQ70" s="413"/>
      <c r="BR70" s="413"/>
      <c r="BS70" s="413"/>
      <c r="BT70" s="413"/>
      <c r="BU70" s="413"/>
      <c r="BV70" s="413"/>
      <c r="BW70" s="413"/>
      <c r="BX70" s="413"/>
      <c r="BY70" s="413"/>
      <c r="BZ70" s="413"/>
      <c r="CA70" s="413"/>
      <c r="CB70" s="413"/>
      <c r="CC70" s="413"/>
      <c r="CD70" s="413"/>
      <c r="CE70" s="413"/>
      <c r="CF70" s="413"/>
      <c r="CG70" s="413"/>
      <c r="CH70" s="413"/>
      <c r="CI70" s="413"/>
      <c r="CJ70" s="413"/>
      <c r="CK70" s="413"/>
      <c r="CL70" s="413"/>
      <c r="CM70" s="414"/>
      <c r="DF70" s="23"/>
      <c r="DG70" s="23"/>
      <c r="DH70" s="23"/>
      <c r="DI70" s="23"/>
      <c r="DJ70" s="23"/>
      <c r="DK70" s="23"/>
      <c r="DL70" s="23"/>
      <c r="DM70" s="23"/>
      <c r="DN70" s="23"/>
      <c r="DO70" s="23"/>
    </row>
    <row r="71" spans="1:91" ht="8.25" customHeight="1">
      <c r="A71" s="85"/>
      <c r="CM71" s="86"/>
    </row>
    <row r="72" spans="1:91" ht="11.25">
      <c r="A72" s="410" t="str">
        <f>'стр.1'!BG26</f>
        <v>от  "31" декабря 2021г.</v>
      </c>
      <c r="B72" s="411"/>
      <c r="C72" s="411"/>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CM72" s="86"/>
    </row>
    <row r="73" spans="1:119" ht="3" customHeight="1" thickBot="1">
      <c r="A73" s="89"/>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1"/>
      <c r="DF73" s="81"/>
      <c r="DG73" s="81"/>
      <c r="DH73" s="81"/>
      <c r="DI73" s="81"/>
      <c r="DJ73" s="81"/>
      <c r="DK73" s="81"/>
      <c r="DL73" s="81"/>
      <c r="DM73" s="81"/>
      <c r="DN73" s="81"/>
      <c r="DO73" s="81"/>
    </row>
    <row r="74" s="79" customFormat="1" ht="12" customHeight="1">
      <c r="A74" s="78" t="s">
        <v>453</v>
      </c>
    </row>
    <row r="75" spans="1:171" s="79" customFormat="1" ht="59.25" customHeight="1">
      <c r="A75" s="416" t="s">
        <v>446</v>
      </c>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c r="AG75" s="416"/>
      <c r="AH75" s="416"/>
      <c r="AI75" s="416"/>
      <c r="AJ75" s="416"/>
      <c r="AK75" s="416"/>
      <c r="AL75" s="416"/>
      <c r="AM75" s="416"/>
      <c r="AN75" s="416"/>
      <c r="AO75" s="416"/>
      <c r="AP75" s="416"/>
      <c r="AQ75" s="416"/>
      <c r="AR75" s="416"/>
      <c r="AS75" s="416"/>
      <c r="AT75" s="416"/>
      <c r="AU75" s="416"/>
      <c r="AV75" s="416"/>
      <c r="AW75" s="416"/>
      <c r="AX75" s="416"/>
      <c r="AY75" s="416"/>
      <c r="AZ75" s="416"/>
      <c r="BA75" s="416"/>
      <c r="BB75" s="416"/>
      <c r="BC75" s="416"/>
      <c r="BD75" s="416"/>
      <c r="BE75" s="416"/>
      <c r="BF75" s="416"/>
      <c r="BG75" s="416"/>
      <c r="BH75" s="416"/>
      <c r="BI75" s="416"/>
      <c r="BJ75" s="416"/>
      <c r="BK75" s="416"/>
      <c r="BL75" s="416"/>
      <c r="BM75" s="416"/>
      <c r="BN75" s="416"/>
      <c r="BO75" s="416"/>
      <c r="BP75" s="416"/>
      <c r="BQ75" s="416"/>
      <c r="BR75" s="416"/>
      <c r="BS75" s="416"/>
      <c r="BT75" s="416"/>
      <c r="BU75" s="416"/>
      <c r="BV75" s="416"/>
      <c r="BW75" s="416"/>
      <c r="BX75" s="416"/>
      <c r="BY75" s="416"/>
      <c r="BZ75" s="416"/>
      <c r="CA75" s="416"/>
      <c r="CB75" s="416"/>
      <c r="CC75" s="416"/>
      <c r="CD75" s="416"/>
      <c r="CE75" s="416"/>
      <c r="CF75" s="416"/>
      <c r="CG75" s="416"/>
      <c r="CH75" s="416"/>
      <c r="CI75" s="416"/>
      <c r="CJ75" s="416"/>
      <c r="CK75" s="416"/>
      <c r="CL75" s="416"/>
      <c r="CM75" s="416"/>
      <c r="CN75" s="416"/>
      <c r="CO75" s="416"/>
      <c r="CP75" s="416"/>
      <c r="CQ75" s="416"/>
      <c r="CR75" s="416"/>
      <c r="CS75" s="416"/>
      <c r="CT75" s="416"/>
      <c r="CU75" s="416"/>
      <c r="CV75" s="416"/>
      <c r="CW75" s="416"/>
      <c r="CX75" s="416"/>
      <c r="CY75" s="416"/>
      <c r="CZ75" s="416"/>
      <c r="DA75" s="416"/>
      <c r="DB75" s="416"/>
      <c r="DC75" s="416"/>
      <c r="DD75" s="416"/>
      <c r="DE75" s="416"/>
      <c r="DF75" s="416"/>
      <c r="DG75" s="416"/>
      <c r="DH75" s="416"/>
      <c r="DI75" s="416"/>
      <c r="DJ75" s="416"/>
      <c r="DK75" s="416"/>
      <c r="DL75" s="416"/>
      <c r="DM75" s="416"/>
      <c r="DN75" s="416"/>
      <c r="DO75" s="416"/>
      <c r="DP75" s="416"/>
      <c r="DQ75" s="416"/>
      <c r="DR75" s="416"/>
      <c r="DS75" s="416"/>
      <c r="DT75" s="416"/>
      <c r="DU75" s="416"/>
      <c r="DV75" s="416"/>
      <c r="DW75" s="416"/>
      <c r="DX75" s="416"/>
      <c r="DY75" s="416"/>
      <c r="DZ75" s="416"/>
      <c r="EA75" s="416"/>
      <c r="EB75" s="416"/>
      <c r="EC75" s="416"/>
      <c r="ED75" s="416"/>
      <c r="EE75" s="416"/>
      <c r="EF75" s="416"/>
      <c r="EG75" s="416"/>
      <c r="EH75" s="416"/>
      <c r="EI75" s="416"/>
      <c r="EJ75" s="416"/>
      <c r="EK75" s="416"/>
      <c r="EL75" s="416"/>
      <c r="EM75" s="416"/>
      <c r="EN75" s="416"/>
      <c r="EO75" s="416"/>
      <c r="EP75" s="416"/>
      <c r="EQ75" s="416"/>
      <c r="ER75" s="416"/>
      <c r="ES75" s="416"/>
      <c r="ET75" s="416"/>
      <c r="EU75" s="416"/>
      <c r="EV75" s="416"/>
      <c r="EW75" s="416"/>
      <c r="EX75" s="416"/>
      <c r="EY75" s="416"/>
      <c r="EZ75" s="416"/>
      <c r="FA75" s="416"/>
      <c r="FB75" s="416"/>
      <c r="FC75" s="416"/>
      <c r="FD75" s="416"/>
      <c r="FE75" s="416"/>
      <c r="FF75" s="416"/>
      <c r="FG75" s="416"/>
      <c r="FH75" s="416"/>
      <c r="FI75" s="416"/>
      <c r="FJ75" s="416"/>
      <c r="FK75" s="416"/>
      <c r="FL75" s="416"/>
      <c r="FM75" s="416"/>
      <c r="FN75" s="416"/>
      <c r="FO75" s="416"/>
    </row>
    <row r="76" spans="1:171" s="79" customFormat="1" ht="40.5" customHeight="1">
      <c r="A76" s="415" t="s">
        <v>255</v>
      </c>
      <c r="B76" s="416"/>
      <c r="C76" s="416"/>
      <c r="D76" s="416"/>
      <c r="E76" s="416"/>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c r="AR76" s="416"/>
      <c r="AS76" s="416"/>
      <c r="AT76" s="416"/>
      <c r="AU76" s="416"/>
      <c r="AV76" s="416"/>
      <c r="AW76" s="416"/>
      <c r="AX76" s="416"/>
      <c r="AY76" s="416"/>
      <c r="AZ76" s="416"/>
      <c r="BA76" s="416"/>
      <c r="BB76" s="416"/>
      <c r="BC76" s="416"/>
      <c r="BD76" s="416"/>
      <c r="BE76" s="416"/>
      <c r="BF76" s="416"/>
      <c r="BG76" s="416"/>
      <c r="BH76" s="416"/>
      <c r="BI76" s="416"/>
      <c r="BJ76" s="416"/>
      <c r="BK76" s="416"/>
      <c r="BL76" s="416"/>
      <c r="BM76" s="416"/>
      <c r="BN76" s="416"/>
      <c r="BO76" s="416"/>
      <c r="BP76" s="416"/>
      <c r="BQ76" s="416"/>
      <c r="BR76" s="416"/>
      <c r="BS76" s="416"/>
      <c r="BT76" s="416"/>
      <c r="BU76" s="416"/>
      <c r="BV76" s="416"/>
      <c r="BW76" s="416"/>
      <c r="BX76" s="416"/>
      <c r="BY76" s="416"/>
      <c r="BZ76" s="416"/>
      <c r="CA76" s="416"/>
      <c r="CB76" s="416"/>
      <c r="CC76" s="416"/>
      <c r="CD76" s="416"/>
      <c r="CE76" s="416"/>
      <c r="CF76" s="416"/>
      <c r="CG76" s="416"/>
      <c r="CH76" s="416"/>
      <c r="CI76" s="416"/>
      <c r="CJ76" s="416"/>
      <c r="CK76" s="416"/>
      <c r="CL76" s="416"/>
      <c r="CM76" s="416"/>
      <c r="CN76" s="416"/>
      <c r="CO76" s="416"/>
      <c r="CP76" s="416"/>
      <c r="CQ76" s="416"/>
      <c r="CR76" s="416"/>
      <c r="CS76" s="416"/>
      <c r="CT76" s="416"/>
      <c r="CU76" s="416"/>
      <c r="CV76" s="416"/>
      <c r="CW76" s="416"/>
      <c r="CX76" s="416"/>
      <c r="CY76" s="416"/>
      <c r="CZ76" s="416"/>
      <c r="DA76" s="416"/>
      <c r="DB76" s="416"/>
      <c r="DC76" s="416"/>
      <c r="DD76" s="416"/>
      <c r="DE76" s="416"/>
      <c r="DF76" s="416"/>
      <c r="DG76" s="416"/>
      <c r="DH76" s="416"/>
      <c r="DI76" s="416"/>
      <c r="DJ76" s="416"/>
      <c r="DK76" s="416"/>
      <c r="DL76" s="416"/>
      <c r="DM76" s="416"/>
      <c r="DN76" s="416"/>
      <c r="DO76" s="416"/>
      <c r="DP76" s="416"/>
      <c r="DQ76" s="416"/>
      <c r="DR76" s="416"/>
      <c r="DS76" s="416"/>
      <c r="DT76" s="416"/>
      <c r="DU76" s="416"/>
      <c r="DV76" s="416"/>
      <c r="DW76" s="416"/>
      <c r="DX76" s="416"/>
      <c r="DY76" s="416"/>
      <c r="DZ76" s="416"/>
      <c r="EA76" s="416"/>
      <c r="EB76" s="416"/>
      <c r="EC76" s="416"/>
      <c r="ED76" s="416"/>
      <c r="EE76" s="416"/>
      <c r="EF76" s="416"/>
      <c r="EG76" s="416"/>
      <c r="EH76" s="416"/>
      <c r="EI76" s="416"/>
      <c r="EJ76" s="416"/>
      <c r="EK76" s="416"/>
      <c r="EL76" s="416"/>
      <c r="EM76" s="416"/>
      <c r="EN76" s="416"/>
      <c r="EO76" s="416"/>
      <c r="EP76" s="416"/>
      <c r="EQ76" s="416"/>
      <c r="ER76" s="416"/>
      <c r="ES76" s="416"/>
      <c r="ET76" s="416"/>
      <c r="EU76" s="416"/>
      <c r="EV76" s="416"/>
      <c r="EW76" s="416"/>
      <c r="EX76" s="416"/>
      <c r="EY76" s="416"/>
      <c r="EZ76" s="416"/>
      <c r="FA76" s="416"/>
      <c r="FB76" s="416"/>
      <c r="FC76" s="416"/>
      <c r="FD76" s="416"/>
      <c r="FE76" s="416"/>
      <c r="FF76" s="416"/>
      <c r="FG76" s="416"/>
      <c r="FH76" s="416"/>
      <c r="FI76" s="416"/>
      <c r="FJ76" s="416"/>
      <c r="FK76" s="416"/>
      <c r="FL76" s="416"/>
      <c r="FM76" s="416"/>
      <c r="FN76" s="416"/>
      <c r="FO76" s="416"/>
    </row>
    <row r="77" spans="1:171" s="79" customFormat="1" ht="21" customHeight="1">
      <c r="A77" s="334" t="s">
        <v>256</v>
      </c>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4"/>
      <c r="BC77" s="334"/>
      <c r="BD77" s="334"/>
      <c r="BE77" s="334"/>
      <c r="BF77" s="334"/>
      <c r="BG77" s="334"/>
      <c r="BH77" s="334"/>
      <c r="BI77" s="334"/>
      <c r="BJ77" s="334"/>
      <c r="BK77" s="334"/>
      <c r="BL77" s="334"/>
      <c r="BM77" s="334"/>
      <c r="BN77" s="334"/>
      <c r="BO77" s="334"/>
      <c r="BP77" s="334"/>
      <c r="BQ77" s="334"/>
      <c r="BR77" s="334"/>
      <c r="BS77" s="334"/>
      <c r="BT77" s="334"/>
      <c r="BU77" s="334"/>
      <c r="BV77" s="334"/>
      <c r="BW77" s="334"/>
      <c r="BX77" s="334"/>
      <c r="BY77" s="334"/>
      <c r="BZ77" s="334"/>
      <c r="CA77" s="334"/>
      <c r="CB77" s="334"/>
      <c r="CC77" s="334"/>
      <c r="CD77" s="334"/>
      <c r="CE77" s="334"/>
      <c r="CF77" s="334"/>
      <c r="CG77" s="334"/>
      <c r="CH77" s="334"/>
      <c r="CI77" s="334"/>
      <c r="CJ77" s="334"/>
      <c r="CK77" s="334"/>
      <c r="CL77" s="334"/>
      <c r="CM77" s="334"/>
      <c r="CN77" s="334"/>
      <c r="CO77" s="334"/>
      <c r="CP77" s="334"/>
      <c r="CQ77" s="334"/>
      <c r="CR77" s="334"/>
      <c r="CS77" s="334"/>
      <c r="CT77" s="334"/>
      <c r="CU77" s="334"/>
      <c r="CV77" s="334"/>
      <c r="CW77" s="334"/>
      <c r="CX77" s="334"/>
      <c r="CY77" s="334"/>
      <c r="CZ77" s="334"/>
      <c r="DA77" s="334"/>
      <c r="DB77" s="334"/>
      <c r="DC77" s="334"/>
      <c r="DD77" s="334"/>
      <c r="DE77" s="334"/>
      <c r="DF77" s="334"/>
      <c r="DG77" s="334"/>
      <c r="DH77" s="334"/>
      <c r="DI77" s="334"/>
      <c r="DJ77" s="334"/>
      <c r="DK77" s="334"/>
      <c r="DL77" s="334"/>
      <c r="DM77" s="334"/>
      <c r="DN77" s="334"/>
      <c r="DO77" s="334"/>
      <c r="DP77" s="334"/>
      <c r="DQ77" s="334"/>
      <c r="DR77" s="334"/>
      <c r="DS77" s="334"/>
      <c r="DT77" s="334"/>
      <c r="DU77" s="334"/>
      <c r="DV77" s="334"/>
      <c r="DW77" s="334"/>
      <c r="DX77" s="334"/>
      <c r="DY77" s="334"/>
      <c r="DZ77" s="334"/>
      <c r="EA77" s="334"/>
      <c r="EB77" s="334"/>
      <c r="EC77" s="334"/>
      <c r="ED77" s="334"/>
      <c r="EE77" s="334"/>
      <c r="EF77" s="334"/>
      <c r="EG77" s="334"/>
      <c r="EH77" s="334"/>
      <c r="EI77" s="334"/>
      <c r="EJ77" s="334"/>
      <c r="EK77" s="334"/>
      <c r="EL77" s="334"/>
      <c r="EM77" s="334"/>
      <c r="EN77" s="334"/>
      <c r="EO77" s="334"/>
      <c r="EP77" s="334"/>
      <c r="EQ77" s="334"/>
      <c r="ER77" s="334"/>
      <c r="ES77" s="334"/>
      <c r="ET77" s="334"/>
      <c r="EU77" s="334"/>
      <c r="EV77" s="334"/>
      <c r="EW77" s="334"/>
      <c r="EX77" s="334"/>
      <c r="EY77" s="334"/>
      <c r="EZ77" s="334"/>
      <c r="FA77" s="334"/>
      <c r="FB77" s="334"/>
      <c r="FC77" s="334"/>
      <c r="FD77" s="334"/>
      <c r="FE77" s="334"/>
      <c r="FF77" s="334"/>
      <c r="FG77" s="334"/>
      <c r="FH77" s="334"/>
      <c r="FI77" s="334"/>
      <c r="FJ77" s="334"/>
      <c r="FK77" s="334"/>
      <c r="FL77" s="334"/>
      <c r="FM77" s="334"/>
      <c r="FN77" s="334"/>
      <c r="FO77" s="334"/>
    </row>
    <row r="78" spans="1:119" s="79" customFormat="1" ht="11.25" customHeight="1">
      <c r="A78" s="78" t="s">
        <v>257</v>
      </c>
      <c r="DF78" s="23"/>
      <c r="DG78" s="23"/>
      <c r="DH78" s="23"/>
      <c r="DI78" s="23"/>
      <c r="DJ78" s="23"/>
      <c r="DK78" s="23"/>
      <c r="DL78" s="23"/>
      <c r="DM78" s="23"/>
      <c r="DN78" s="23"/>
      <c r="DO78" s="23"/>
    </row>
    <row r="79" spans="1:119" s="79" customFormat="1" ht="11.25" customHeight="1">
      <c r="A79" s="78" t="s">
        <v>258</v>
      </c>
      <c r="DF79" s="23"/>
      <c r="DG79" s="23"/>
      <c r="DH79" s="23"/>
      <c r="DI79" s="23"/>
      <c r="DJ79" s="23"/>
      <c r="DK79" s="23"/>
      <c r="DL79" s="23"/>
      <c r="DM79" s="23"/>
      <c r="DN79" s="23"/>
      <c r="DO79" s="23"/>
    </row>
    <row r="80" spans="1:119" s="79" customFormat="1" ht="11.25" customHeight="1">
      <c r="A80" s="78" t="s">
        <v>259</v>
      </c>
      <c r="DF80" s="23"/>
      <c r="DG80" s="23"/>
      <c r="DH80" s="23"/>
      <c r="DI80" s="23"/>
      <c r="DJ80" s="23"/>
      <c r="DK80" s="23"/>
      <c r="DL80" s="23"/>
      <c r="DM80" s="23"/>
      <c r="DN80" s="23"/>
      <c r="DO80" s="23"/>
    </row>
    <row r="81" spans="1:171" s="79" customFormat="1" ht="20.25" customHeight="1">
      <c r="A81" s="408" t="s">
        <v>260</v>
      </c>
      <c r="B81" s="409"/>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0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09"/>
      <c r="AY81" s="409"/>
      <c r="AZ81" s="409"/>
      <c r="BA81" s="409"/>
      <c r="BB81" s="409"/>
      <c r="BC81" s="409"/>
      <c r="BD81" s="409"/>
      <c r="BE81" s="409"/>
      <c r="BF81" s="409"/>
      <c r="BG81" s="409"/>
      <c r="BH81" s="409"/>
      <c r="BI81" s="409"/>
      <c r="BJ81" s="409"/>
      <c r="BK81" s="409"/>
      <c r="BL81" s="409"/>
      <c r="BM81" s="409"/>
      <c r="BN81" s="409"/>
      <c r="BO81" s="409"/>
      <c r="BP81" s="409"/>
      <c r="BQ81" s="409"/>
      <c r="BR81" s="409"/>
      <c r="BS81" s="409"/>
      <c r="BT81" s="409"/>
      <c r="BU81" s="409"/>
      <c r="BV81" s="409"/>
      <c r="BW81" s="409"/>
      <c r="BX81" s="409"/>
      <c r="BY81" s="409"/>
      <c r="BZ81" s="409"/>
      <c r="CA81" s="409"/>
      <c r="CB81" s="409"/>
      <c r="CC81" s="409"/>
      <c r="CD81" s="409"/>
      <c r="CE81" s="409"/>
      <c r="CF81" s="409"/>
      <c r="CG81" s="409"/>
      <c r="CH81" s="409"/>
      <c r="CI81" s="409"/>
      <c r="CJ81" s="409"/>
      <c r="CK81" s="409"/>
      <c r="CL81" s="409"/>
      <c r="CM81" s="409"/>
      <c r="CN81" s="409"/>
      <c r="CO81" s="409"/>
      <c r="CP81" s="409"/>
      <c r="CQ81" s="409"/>
      <c r="CR81" s="409"/>
      <c r="CS81" s="409"/>
      <c r="CT81" s="409"/>
      <c r="CU81" s="409"/>
      <c r="CV81" s="409"/>
      <c r="CW81" s="409"/>
      <c r="CX81" s="409"/>
      <c r="CY81" s="409"/>
      <c r="CZ81" s="409"/>
      <c r="DA81" s="409"/>
      <c r="DB81" s="409"/>
      <c r="DC81" s="409"/>
      <c r="DD81" s="409"/>
      <c r="DE81" s="409"/>
      <c r="DF81" s="409"/>
      <c r="DG81" s="409"/>
      <c r="DH81" s="409"/>
      <c r="DI81" s="409"/>
      <c r="DJ81" s="409"/>
      <c r="DK81" s="409"/>
      <c r="DL81" s="409"/>
      <c r="DM81" s="409"/>
      <c r="DN81" s="409"/>
      <c r="DO81" s="409"/>
      <c r="DP81" s="409"/>
      <c r="DQ81" s="409"/>
      <c r="DR81" s="409"/>
      <c r="DS81" s="409"/>
      <c r="DT81" s="409"/>
      <c r="DU81" s="409"/>
      <c r="DV81" s="409"/>
      <c r="DW81" s="409"/>
      <c r="DX81" s="409"/>
      <c r="DY81" s="409"/>
      <c r="DZ81" s="409"/>
      <c r="EA81" s="409"/>
      <c r="EB81" s="409"/>
      <c r="EC81" s="409"/>
      <c r="ED81" s="409"/>
      <c r="EE81" s="409"/>
      <c r="EF81" s="409"/>
      <c r="EG81" s="409"/>
      <c r="EH81" s="409"/>
      <c r="EI81" s="409"/>
      <c r="EJ81" s="409"/>
      <c r="EK81" s="409"/>
      <c r="EL81" s="409"/>
      <c r="EM81" s="409"/>
      <c r="EN81" s="409"/>
      <c r="EO81" s="409"/>
      <c r="EP81" s="409"/>
      <c r="EQ81" s="409"/>
      <c r="ER81" s="409"/>
      <c r="ES81" s="409"/>
      <c r="ET81" s="409"/>
      <c r="EU81" s="409"/>
      <c r="EV81" s="409"/>
      <c r="EW81" s="409"/>
      <c r="EX81" s="409"/>
      <c r="EY81" s="409"/>
      <c r="EZ81" s="409"/>
      <c r="FA81" s="409"/>
      <c r="FB81" s="409"/>
      <c r="FC81" s="409"/>
      <c r="FD81" s="409"/>
      <c r="FE81" s="409"/>
      <c r="FF81" s="409"/>
      <c r="FG81" s="409"/>
      <c r="FH81" s="409"/>
      <c r="FI81" s="409"/>
      <c r="FJ81" s="409"/>
      <c r="FK81" s="409"/>
      <c r="FL81" s="409"/>
      <c r="FM81" s="409"/>
      <c r="FN81" s="409"/>
      <c r="FO81" s="409"/>
    </row>
    <row r="85" spans="110:119" ht="11.25">
      <c r="DF85" s="79"/>
      <c r="DG85" s="79"/>
      <c r="DH85" s="79"/>
      <c r="DI85" s="79"/>
      <c r="DJ85" s="79"/>
      <c r="DK85" s="79"/>
      <c r="DL85" s="79"/>
      <c r="DM85" s="79"/>
      <c r="DN85" s="79"/>
      <c r="DO85" s="79"/>
    </row>
    <row r="86" spans="110:119" ht="11.25">
      <c r="DF86" s="79"/>
      <c r="DG86" s="79"/>
      <c r="DH86" s="79"/>
      <c r="DI86" s="79"/>
      <c r="DJ86" s="79"/>
      <c r="DK86" s="79"/>
      <c r="DL86" s="79"/>
      <c r="DM86" s="79"/>
      <c r="DN86" s="79"/>
      <c r="DO86" s="79"/>
    </row>
    <row r="87" spans="110:119" ht="11.25">
      <c r="DF87" s="79"/>
      <c r="DG87" s="79"/>
      <c r="DH87" s="79"/>
      <c r="DI87" s="79"/>
      <c r="DJ87" s="79"/>
      <c r="DK87" s="79"/>
      <c r="DL87" s="79"/>
      <c r="DM87" s="79"/>
      <c r="DN87" s="79"/>
      <c r="DO87" s="79"/>
    </row>
  </sheetData>
  <sheetProtection/>
  <mergeCells count="470">
    <mergeCell ref="DP29:EB29"/>
    <mergeCell ref="EC29:EO29"/>
    <mergeCell ref="EP29:FB29"/>
    <mergeCell ref="FC29:FO29"/>
    <mergeCell ref="EP26:FB26"/>
    <mergeCell ref="FC26:FO26"/>
    <mergeCell ref="EP27:FB27"/>
    <mergeCell ref="FC27:FO27"/>
    <mergeCell ref="A27:H27"/>
    <mergeCell ref="I27:CM27"/>
    <mergeCell ref="CN27:CU27"/>
    <mergeCell ref="CV27:DE27"/>
    <mergeCell ref="FC24:FO24"/>
    <mergeCell ref="A25:H25"/>
    <mergeCell ref="I25:CM25"/>
    <mergeCell ref="CN25:CU25"/>
    <mergeCell ref="CV25:DE25"/>
    <mergeCell ref="DF25:DO25"/>
    <mergeCell ref="DP25:EB25"/>
    <mergeCell ref="EC25:EO25"/>
    <mergeCell ref="EP25:FB25"/>
    <mergeCell ref="FC25:FO25"/>
    <mergeCell ref="EP52:FB53"/>
    <mergeCell ref="A24:H24"/>
    <mergeCell ref="I24:CM24"/>
    <mergeCell ref="CN24:CU24"/>
    <mergeCell ref="CV24:DE24"/>
    <mergeCell ref="EP24:FB24"/>
    <mergeCell ref="A26:H26"/>
    <mergeCell ref="I26:CM26"/>
    <mergeCell ref="CN26:CU26"/>
    <mergeCell ref="CV26:DE26"/>
    <mergeCell ref="BG60:BX60"/>
    <mergeCell ref="EP50:FB50"/>
    <mergeCell ref="AQ57:BH57"/>
    <mergeCell ref="BK57:BV57"/>
    <mergeCell ref="BY57:CR57"/>
    <mergeCell ref="AQ56:BH56"/>
    <mergeCell ref="FC50:FO50"/>
    <mergeCell ref="A52:H53"/>
    <mergeCell ref="FC51:FO51"/>
    <mergeCell ref="A51:H51"/>
    <mergeCell ref="I51:CM51"/>
    <mergeCell ref="CV51:DE51"/>
    <mergeCell ref="CN52:CU53"/>
    <mergeCell ref="FC52:FO53"/>
    <mergeCell ref="I52:CM52"/>
    <mergeCell ref="DP51:EB51"/>
    <mergeCell ref="A67:CM67"/>
    <mergeCell ref="A69:Y69"/>
    <mergeCell ref="AH69:CM69"/>
    <mergeCell ref="AM60:BD60"/>
    <mergeCell ref="CA59:CR59"/>
    <mergeCell ref="CA60:CR60"/>
    <mergeCell ref="AM59:BD59"/>
    <mergeCell ref="H62:AM62"/>
    <mergeCell ref="A66:CM66"/>
    <mergeCell ref="BG59:BX59"/>
    <mergeCell ref="A81:FO81"/>
    <mergeCell ref="A72:AH72"/>
    <mergeCell ref="A70:Y70"/>
    <mergeCell ref="AH70:CM70"/>
    <mergeCell ref="A76:FO76"/>
    <mergeCell ref="A77:FO77"/>
    <mergeCell ref="A75:FO75"/>
    <mergeCell ref="BK56:BV56"/>
    <mergeCell ref="BY56:CR56"/>
    <mergeCell ref="I53:CM53"/>
    <mergeCell ref="A50:H50"/>
    <mergeCell ref="I50:CM50"/>
    <mergeCell ref="CN50:CU50"/>
    <mergeCell ref="DP50:EB50"/>
    <mergeCell ref="DP46:EB46"/>
    <mergeCell ref="DP48:EB48"/>
    <mergeCell ref="CN51:CU51"/>
    <mergeCell ref="A45:H48"/>
    <mergeCell ref="I47:CM47"/>
    <mergeCell ref="CV52:DE53"/>
    <mergeCell ref="DP47:EB47"/>
    <mergeCell ref="CV48:DE48"/>
    <mergeCell ref="DP52:EB53"/>
    <mergeCell ref="EC51:EO51"/>
    <mergeCell ref="DF51:DO51"/>
    <mergeCell ref="CV50:DE50"/>
    <mergeCell ref="DP49:EB49"/>
    <mergeCell ref="EC52:EO53"/>
    <mergeCell ref="EC50:EO50"/>
    <mergeCell ref="EP42:FB42"/>
    <mergeCell ref="FC42:FO42"/>
    <mergeCell ref="DP42:EB42"/>
    <mergeCell ref="EC42:EO42"/>
    <mergeCell ref="EP51:FB51"/>
    <mergeCell ref="EC45:EO45"/>
    <mergeCell ref="EP49:FB49"/>
    <mergeCell ref="DP45:EB45"/>
    <mergeCell ref="EC47:EO47"/>
    <mergeCell ref="EP43:FB43"/>
    <mergeCell ref="FC43:FO43"/>
    <mergeCell ref="DP43:EB43"/>
    <mergeCell ref="EC43:EO43"/>
    <mergeCell ref="EP45:FB45"/>
    <mergeCell ref="EP47:FB47"/>
    <mergeCell ref="FC45:FO45"/>
    <mergeCell ref="EC44:EO44"/>
    <mergeCell ref="DP44:EB44"/>
    <mergeCell ref="FC48:FO48"/>
    <mergeCell ref="FC47:FO47"/>
    <mergeCell ref="FC46:FO46"/>
    <mergeCell ref="EP44:FB44"/>
    <mergeCell ref="FC44:FO44"/>
    <mergeCell ref="CV49:DE49"/>
    <mergeCell ref="DF49:DO49"/>
    <mergeCell ref="CV44:DE44"/>
    <mergeCell ref="A43:H43"/>
    <mergeCell ref="I43:CM43"/>
    <mergeCell ref="CN43:CU43"/>
    <mergeCell ref="CV43:DE43"/>
    <mergeCell ref="A49:H49"/>
    <mergeCell ref="CN47:CU47"/>
    <mergeCell ref="A44:H44"/>
    <mergeCell ref="I44:CM44"/>
    <mergeCell ref="CN44:CU44"/>
    <mergeCell ref="CN46:CU46"/>
    <mergeCell ref="CN41:CU41"/>
    <mergeCell ref="CV41:DE41"/>
    <mergeCell ref="I45:CM45"/>
    <mergeCell ref="CV47:DE47"/>
    <mergeCell ref="I49:CM49"/>
    <mergeCell ref="CN48:CU48"/>
    <mergeCell ref="CN49:CU49"/>
    <mergeCell ref="CN45:CU45"/>
    <mergeCell ref="CV46:DE46"/>
    <mergeCell ref="CV45:DE45"/>
    <mergeCell ref="EP40:FB40"/>
    <mergeCell ref="FC40:FO40"/>
    <mergeCell ref="EP41:FB41"/>
    <mergeCell ref="FC41:FO41"/>
    <mergeCell ref="A40:H40"/>
    <mergeCell ref="I40:CM40"/>
    <mergeCell ref="DP41:EB41"/>
    <mergeCell ref="EC41:EO41"/>
    <mergeCell ref="A41:H41"/>
    <mergeCell ref="I41:CM41"/>
    <mergeCell ref="CN40:CU40"/>
    <mergeCell ref="CV40:DE40"/>
    <mergeCell ref="DP40:EB40"/>
    <mergeCell ref="EC40:EO40"/>
    <mergeCell ref="EP38:FB38"/>
    <mergeCell ref="FC38:FO38"/>
    <mergeCell ref="EP39:FB39"/>
    <mergeCell ref="FC39:FO39"/>
    <mergeCell ref="DP39:EB39"/>
    <mergeCell ref="EC39:EO39"/>
    <mergeCell ref="A39:H39"/>
    <mergeCell ref="I39:CM39"/>
    <mergeCell ref="CN39:CU39"/>
    <mergeCell ref="CV39:DE39"/>
    <mergeCell ref="A38:H38"/>
    <mergeCell ref="I38:CM38"/>
    <mergeCell ref="CN38:CU38"/>
    <mergeCell ref="CV38:DE38"/>
    <mergeCell ref="EP35:FB35"/>
    <mergeCell ref="FC35:FO35"/>
    <mergeCell ref="A37:H37"/>
    <mergeCell ref="I37:CM37"/>
    <mergeCell ref="CN37:CU37"/>
    <mergeCell ref="CV37:DE37"/>
    <mergeCell ref="EP37:FB37"/>
    <mergeCell ref="FC37:FO37"/>
    <mergeCell ref="DP37:EB37"/>
    <mergeCell ref="EP36:FB36"/>
    <mergeCell ref="DP23:EB23"/>
    <mergeCell ref="DF26:DO26"/>
    <mergeCell ref="EP33:FB33"/>
    <mergeCell ref="FC33:FO33"/>
    <mergeCell ref="A35:H35"/>
    <mergeCell ref="I35:CM35"/>
    <mergeCell ref="CN35:CU35"/>
    <mergeCell ref="CV35:DE35"/>
    <mergeCell ref="DP35:EB35"/>
    <mergeCell ref="EC35:EO35"/>
    <mergeCell ref="A33:H33"/>
    <mergeCell ref="I33:CM33"/>
    <mergeCell ref="CN33:CU33"/>
    <mergeCell ref="CV33:DE33"/>
    <mergeCell ref="CN23:CU23"/>
    <mergeCell ref="CV23:DE23"/>
    <mergeCell ref="A29:H29"/>
    <mergeCell ref="I29:CM29"/>
    <mergeCell ref="CN29:CU29"/>
    <mergeCell ref="CV29:DE29"/>
    <mergeCell ref="FC23:FO23"/>
    <mergeCell ref="EC23:EO23"/>
    <mergeCell ref="EP23:FB23"/>
    <mergeCell ref="A19:H19"/>
    <mergeCell ref="I19:CM19"/>
    <mergeCell ref="CN19:CU19"/>
    <mergeCell ref="CV19:DE19"/>
    <mergeCell ref="EP21:FB21"/>
    <mergeCell ref="FC21:FO21"/>
    <mergeCell ref="EP20:FB20"/>
    <mergeCell ref="EC33:EO33"/>
    <mergeCell ref="DP19:EB19"/>
    <mergeCell ref="EC19:EO19"/>
    <mergeCell ref="DP24:EB24"/>
    <mergeCell ref="EC24:EO24"/>
    <mergeCell ref="DP27:EB27"/>
    <mergeCell ref="EC27:EO27"/>
    <mergeCell ref="EC28:EO28"/>
    <mergeCell ref="DP26:EB26"/>
    <mergeCell ref="EC26:EO26"/>
    <mergeCell ref="A18:H18"/>
    <mergeCell ref="I18:CM18"/>
    <mergeCell ref="CN18:CU18"/>
    <mergeCell ref="CV18:DE18"/>
    <mergeCell ref="DP33:EB33"/>
    <mergeCell ref="A23:H23"/>
    <mergeCell ref="I23:CM23"/>
    <mergeCell ref="DP18:EB18"/>
    <mergeCell ref="CN21:CU21"/>
    <mergeCell ref="CV21:DE21"/>
    <mergeCell ref="DP17:EB17"/>
    <mergeCell ref="EC17:EO17"/>
    <mergeCell ref="EP15:FB15"/>
    <mergeCell ref="FC15:FO15"/>
    <mergeCell ref="EP16:FB16"/>
    <mergeCell ref="FC16:FO16"/>
    <mergeCell ref="DP16:EB16"/>
    <mergeCell ref="EC16:EO16"/>
    <mergeCell ref="EP17:FB17"/>
    <mergeCell ref="FC17:FO17"/>
    <mergeCell ref="CN17:CU17"/>
    <mergeCell ref="CV17:DE17"/>
    <mergeCell ref="A17:H17"/>
    <mergeCell ref="I17:CM17"/>
    <mergeCell ref="A16:H16"/>
    <mergeCell ref="I16:CM16"/>
    <mergeCell ref="CN16:CU16"/>
    <mergeCell ref="CV16:DE16"/>
    <mergeCell ref="A14:H14"/>
    <mergeCell ref="I14:CM14"/>
    <mergeCell ref="CN14:CU14"/>
    <mergeCell ref="CV14:DE14"/>
    <mergeCell ref="A15:H15"/>
    <mergeCell ref="I15:CM15"/>
    <mergeCell ref="CN15:CU15"/>
    <mergeCell ref="CV15:DE15"/>
    <mergeCell ref="EP10:FB10"/>
    <mergeCell ref="FC10:FO10"/>
    <mergeCell ref="EP14:FB14"/>
    <mergeCell ref="FC14:FO14"/>
    <mergeCell ref="DP14:EB14"/>
    <mergeCell ref="EC14:EO14"/>
    <mergeCell ref="DP10:EB10"/>
    <mergeCell ref="EC10:EO10"/>
    <mergeCell ref="EC11:EO11"/>
    <mergeCell ref="EP11:FB11"/>
    <mergeCell ref="DP15:EB15"/>
    <mergeCell ref="EC15:EO15"/>
    <mergeCell ref="A10:H10"/>
    <mergeCell ref="I10:CM10"/>
    <mergeCell ref="EP9:FB9"/>
    <mergeCell ref="FC9:FO9"/>
    <mergeCell ref="DP9:EB9"/>
    <mergeCell ref="EC9:EO9"/>
    <mergeCell ref="CN10:CU10"/>
    <mergeCell ref="CV10:DE10"/>
    <mergeCell ref="DP8:EB8"/>
    <mergeCell ref="EC8:EO8"/>
    <mergeCell ref="A9:H9"/>
    <mergeCell ref="I9:CM9"/>
    <mergeCell ref="A8:H8"/>
    <mergeCell ref="I8:CM8"/>
    <mergeCell ref="CN8:CU8"/>
    <mergeCell ref="CV8:DE8"/>
    <mergeCell ref="CN9:CU9"/>
    <mergeCell ref="CV9:DE9"/>
    <mergeCell ref="CV7:DE7"/>
    <mergeCell ref="DP7:EB7"/>
    <mergeCell ref="A3:H5"/>
    <mergeCell ref="A6:H6"/>
    <mergeCell ref="I3:CM5"/>
    <mergeCell ref="A7:H7"/>
    <mergeCell ref="I7:CM7"/>
    <mergeCell ref="CN7:CU7"/>
    <mergeCell ref="DF3:DO5"/>
    <mergeCell ref="DF6:DO6"/>
    <mergeCell ref="B1:FN1"/>
    <mergeCell ref="I6:CM6"/>
    <mergeCell ref="CN6:CU6"/>
    <mergeCell ref="CV6:DE6"/>
    <mergeCell ref="EC5:EO5"/>
    <mergeCell ref="EP5:FB5"/>
    <mergeCell ref="DY4:EB4"/>
    <mergeCell ref="EY4:FB4"/>
    <mergeCell ref="FC4:FO5"/>
    <mergeCell ref="DP5:EB5"/>
    <mergeCell ref="FC7:FO7"/>
    <mergeCell ref="DP6:EB6"/>
    <mergeCell ref="EC6:EO6"/>
    <mergeCell ref="EP6:FB6"/>
    <mergeCell ref="FC6:FO6"/>
    <mergeCell ref="EP7:FB7"/>
    <mergeCell ref="EC7:EO7"/>
    <mergeCell ref="EP8:FB8"/>
    <mergeCell ref="FC8:FO8"/>
    <mergeCell ref="CN3:CU5"/>
    <mergeCell ref="CV3:DE5"/>
    <mergeCell ref="DP3:FO3"/>
    <mergeCell ref="DP4:DU4"/>
    <mergeCell ref="DV4:DX4"/>
    <mergeCell ref="EC4:EH4"/>
    <mergeCell ref="EL4:EO4"/>
    <mergeCell ref="EP4:EU4"/>
    <mergeCell ref="EV4:EX4"/>
    <mergeCell ref="EI4:EK4"/>
    <mergeCell ref="FC49:FO49"/>
    <mergeCell ref="I46:CM46"/>
    <mergeCell ref="I48:CM48"/>
    <mergeCell ref="EC46:EO46"/>
    <mergeCell ref="EC48:EO48"/>
    <mergeCell ref="EC49:EO49"/>
    <mergeCell ref="EP46:FB46"/>
    <mergeCell ref="EP48:FB48"/>
    <mergeCell ref="DF43:DO43"/>
    <mergeCell ref="DF7:DO7"/>
    <mergeCell ref="DF8:DO8"/>
    <mergeCell ref="DF9:DO9"/>
    <mergeCell ref="DF10:DO10"/>
    <mergeCell ref="DF14:DO14"/>
    <mergeCell ref="DF15:DO15"/>
    <mergeCell ref="DF23:DO23"/>
    <mergeCell ref="DF29:DO29"/>
    <mergeCell ref="DF16:DO16"/>
    <mergeCell ref="DF17:DO17"/>
    <mergeCell ref="DF18:DO18"/>
    <mergeCell ref="DF19:DO19"/>
    <mergeCell ref="DF33:DO33"/>
    <mergeCell ref="DF35:DO35"/>
    <mergeCell ref="DF24:DO24"/>
    <mergeCell ref="DF27:DO27"/>
    <mergeCell ref="DF52:DO53"/>
    <mergeCell ref="DF56:DO56"/>
    <mergeCell ref="DF57:DO57"/>
    <mergeCell ref="DF58:DO59"/>
    <mergeCell ref="DF44:DO44"/>
    <mergeCell ref="DF45:DO45"/>
    <mergeCell ref="DF46:DO46"/>
    <mergeCell ref="DF47:DO47"/>
    <mergeCell ref="DF48:DO48"/>
    <mergeCell ref="DF50:DO50"/>
    <mergeCell ref="CN11:CU11"/>
    <mergeCell ref="CV11:DE11"/>
    <mergeCell ref="DF11:DO11"/>
    <mergeCell ref="DP11:EB11"/>
    <mergeCell ref="DF54:DO54"/>
    <mergeCell ref="DF55:DO55"/>
    <mergeCell ref="DF37:DO37"/>
    <mergeCell ref="DF38:DO38"/>
    <mergeCell ref="DF39:DO39"/>
    <mergeCell ref="DF40:DO40"/>
    <mergeCell ref="FC11:FO11"/>
    <mergeCell ref="A12:H12"/>
    <mergeCell ref="I12:CM12"/>
    <mergeCell ref="CN12:CU12"/>
    <mergeCell ref="CV12:DE12"/>
    <mergeCell ref="DF12:DO12"/>
    <mergeCell ref="DP12:EB12"/>
    <mergeCell ref="EC12:EO12"/>
    <mergeCell ref="A11:H11"/>
    <mergeCell ref="I11:CM11"/>
    <mergeCell ref="A13:H13"/>
    <mergeCell ref="I13:CM13"/>
    <mergeCell ref="CN13:CU13"/>
    <mergeCell ref="CV13:DE13"/>
    <mergeCell ref="DF13:DO13"/>
    <mergeCell ref="DP13:EB13"/>
    <mergeCell ref="EC13:EO13"/>
    <mergeCell ref="EP13:FB13"/>
    <mergeCell ref="EP12:FB12"/>
    <mergeCell ref="FC12:FO12"/>
    <mergeCell ref="EP18:FB18"/>
    <mergeCell ref="FC18:FO18"/>
    <mergeCell ref="EC18:EO18"/>
    <mergeCell ref="FC20:FO20"/>
    <mergeCell ref="EP19:FB19"/>
    <mergeCell ref="FC19:FO19"/>
    <mergeCell ref="FC13:FO13"/>
    <mergeCell ref="A22:H22"/>
    <mergeCell ref="I22:CM22"/>
    <mergeCell ref="CN22:CU22"/>
    <mergeCell ref="CV22:DE22"/>
    <mergeCell ref="DF22:DO22"/>
    <mergeCell ref="DP22:EB22"/>
    <mergeCell ref="EC22:EO22"/>
    <mergeCell ref="EP22:FB22"/>
    <mergeCell ref="FC22:FO22"/>
    <mergeCell ref="A36:H36"/>
    <mergeCell ref="I36:CM36"/>
    <mergeCell ref="CN36:CU36"/>
    <mergeCell ref="CV36:DE36"/>
    <mergeCell ref="DF36:DO36"/>
    <mergeCell ref="DP36:EB36"/>
    <mergeCell ref="EC36:EO36"/>
    <mergeCell ref="FC36:FO36"/>
    <mergeCell ref="A42:H42"/>
    <mergeCell ref="I42:CM42"/>
    <mergeCell ref="CN42:CU42"/>
    <mergeCell ref="CV42:DE42"/>
    <mergeCell ref="DF42:DO42"/>
    <mergeCell ref="DF41:DO41"/>
    <mergeCell ref="EC37:EO37"/>
    <mergeCell ref="DP38:EB38"/>
    <mergeCell ref="EC38:EO38"/>
    <mergeCell ref="EC21:EO21"/>
    <mergeCell ref="DF21:DO21"/>
    <mergeCell ref="DP21:EB21"/>
    <mergeCell ref="A20:H20"/>
    <mergeCell ref="I20:CM20"/>
    <mergeCell ref="CN20:CU20"/>
    <mergeCell ref="CV20:DE20"/>
    <mergeCell ref="A21:H21"/>
    <mergeCell ref="I21:CM21"/>
    <mergeCell ref="DF20:DO20"/>
    <mergeCell ref="DP20:EB20"/>
    <mergeCell ref="EP28:FB28"/>
    <mergeCell ref="FC28:FO28"/>
    <mergeCell ref="A28:H28"/>
    <mergeCell ref="I28:CM28"/>
    <mergeCell ref="CN28:CU28"/>
    <mergeCell ref="CV28:DE28"/>
    <mergeCell ref="DF28:DO28"/>
    <mergeCell ref="DP28:EB28"/>
    <mergeCell ref="EC20:EO20"/>
    <mergeCell ref="DP31:EB31"/>
    <mergeCell ref="EC31:EO31"/>
    <mergeCell ref="A30:H30"/>
    <mergeCell ref="I30:CM30"/>
    <mergeCell ref="CN30:CU30"/>
    <mergeCell ref="CV30:DE30"/>
    <mergeCell ref="DF30:DO30"/>
    <mergeCell ref="DP30:EB30"/>
    <mergeCell ref="EP31:FB31"/>
    <mergeCell ref="FC31:FO31"/>
    <mergeCell ref="EC30:EO30"/>
    <mergeCell ref="EP30:FB30"/>
    <mergeCell ref="FC30:FO30"/>
    <mergeCell ref="A31:H31"/>
    <mergeCell ref="I31:CM31"/>
    <mergeCell ref="CN31:CU31"/>
    <mergeCell ref="CV31:DE31"/>
    <mergeCell ref="DF31:DO31"/>
    <mergeCell ref="EC32:EO32"/>
    <mergeCell ref="EP32:FB32"/>
    <mergeCell ref="FC32:FO32"/>
    <mergeCell ref="A32:H32"/>
    <mergeCell ref="I32:CM32"/>
    <mergeCell ref="CN32:CU32"/>
    <mergeCell ref="CV32:DE32"/>
    <mergeCell ref="DF32:DO32"/>
    <mergeCell ref="DP32:EB32"/>
    <mergeCell ref="EC34:EO34"/>
    <mergeCell ref="EP34:FB34"/>
    <mergeCell ref="FC34:FO34"/>
    <mergeCell ref="A34:H34"/>
    <mergeCell ref="I34:CM34"/>
    <mergeCell ref="CN34:CU34"/>
    <mergeCell ref="CV34:DE34"/>
    <mergeCell ref="DF34:DO34"/>
    <mergeCell ref="DP34:EB3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75" r:id="rId1"/>
  <rowBreaks count="1" manualBreakCount="1">
    <brk id="36" max="170" man="1"/>
  </rowBreaks>
</worksheet>
</file>

<file path=xl/worksheets/sheet4.xml><?xml version="1.0" encoding="utf-8"?>
<worksheet xmlns="http://schemas.openxmlformats.org/spreadsheetml/2006/main" xmlns:r="http://schemas.openxmlformats.org/officeDocument/2006/relationships">
  <dimension ref="A1:P526"/>
  <sheetViews>
    <sheetView tabSelected="1" view="pageBreakPreview" zoomScaleSheetLayoutView="100" zoomScalePageLayoutView="0" workbookViewId="0" topLeftCell="A184">
      <selection activeCell="K204" sqref="K204:L205"/>
    </sheetView>
  </sheetViews>
  <sheetFormatPr defaultColWidth="9.00390625" defaultRowHeight="12.75"/>
  <cols>
    <col min="1" max="1" width="5.375" style="141" customWidth="1"/>
    <col min="2" max="2" width="12.75390625" style="141" customWidth="1"/>
    <col min="3" max="3" width="6.625" style="141" customWidth="1"/>
    <col min="4" max="4" width="6.875" style="141" customWidth="1"/>
    <col min="5" max="5" width="10.00390625" style="141" bestFit="1" customWidth="1"/>
    <col min="6" max="6" width="12.125" style="141" customWidth="1"/>
    <col min="7" max="7" width="11.375" style="141" customWidth="1"/>
    <col min="8" max="8" width="10.00390625" style="141" bestFit="1" customWidth="1"/>
    <col min="9" max="9" width="10.75390625" style="141" customWidth="1"/>
    <col min="10" max="10" width="11.00390625" style="141" customWidth="1"/>
    <col min="11" max="11" width="10.375" style="141" customWidth="1"/>
    <col min="12" max="12" width="10.25390625" style="141" customWidth="1"/>
    <col min="13" max="13" width="11.75390625" style="141" customWidth="1"/>
    <col min="14" max="14" width="12.375" style="141" bestFit="1" customWidth="1"/>
    <col min="15" max="15" width="12.125" style="141" bestFit="1" customWidth="1"/>
    <col min="16" max="16" width="14.125" style="22" customWidth="1"/>
    <col min="17" max="16384" width="9.125" style="22" customWidth="1"/>
  </cols>
  <sheetData>
    <row r="1" spans="1:8" ht="15" customHeight="1">
      <c r="A1" s="139"/>
      <c r="B1" s="139"/>
      <c r="C1" s="140"/>
      <c r="D1" s="140"/>
      <c r="E1" s="139"/>
      <c r="H1" s="142" t="s">
        <v>272</v>
      </c>
    </row>
    <row r="2" spans="1:12" ht="15" customHeight="1">
      <c r="A2" s="139"/>
      <c r="B2" s="139"/>
      <c r="C2" s="140"/>
      <c r="D2" s="140"/>
      <c r="E2" s="139"/>
      <c r="G2" s="139" t="s">
        <v>555</v>
      </c>
      <c r="I2" s="143"/>
      <c r="J2" s="143"/>
      <c r="K2" s="143"/>
      <c r="L2" s="143"/>
    </row>
    <row r="3" spans="7:12" ht="15" customHeight="1">
      <c r="G3" s="144" t="str">
        <f>'стр.1'!BG26</f>
        <v>от  "31" декабря 2021г.</v>
      </c>
      <c r="I3" s="143"/>
      <c r="J3" s="143"/>
      <c r="K3" s="143"/>
      <c r="L3" s="145"/>
    </row>
    <row r="4" spans="1:13" ht="15" customHeight="1">
      <c r="A4" s="146"/>
      <c r="B4" s="146"/>
      <c r="C4" s="146"/>
      <c r="D4" s="146"/>
      <c r="E4" s="146"/>
      <c r="F4" s="146"/>
      <c r="G4" s="146"/>
      <c r="H4" s="146"/>
      <c r="I4" s="146"/>
      <c r="J4" s="146"/>
      <c r="K4" s="146"/>
      <c r="L4" s="146"/>
      <c r="M4" s="146"/>
    </row>
    <row r="5" spans="1:13" ht="15" customHeight="1">
      <c r="A5" s="146"/>
      <c r="B5" s="147" t="s">
        <v>273</v>
      </c>
      <c r="C5" s="147"/>
      <c r="D5" s="147"/>
      <c r="E5" s="147"/>
      <c r="F5" s="147"/>
      <c r="G5" s="147"/>
      <c r="H5" s="147"/>
      <c r="I5" s="147"/>
      <c r="J5" s="147"/>
      <c r="K5" s="147"/>
      <c r="L5" s="147"/>
      <c r="M5" s="147"/>
    </row>
    <row r="6" spans="1:13" ht="15" customHeight="1">
      <c r="A6" s="146"/>
      <c r="B6" s="147" t="s">
        <v>274</v>
      </c>
      <c r="C6" s="147"/>
      <c r="D6" s="147"/>
      <c r="E6" s="147"/>
      <c r="F6" s="147"/>
      <c r="G6" s="147"/>
      <c r="H6" s="147"/>
      <c r="I6" s="147"/>
      <c r="J6" s="147"/>
      <c r="K6" s="147"/>
      <c r="L6" s="147"/>
      <c r="M6" s="147"/>
    </row>
    <row r="7" spans="1:13" ht="15" customHeight="1">
      <c r="A7" s="146"/>
      <c r="B7" s="147"/>
      <c r="C7" s="147"/>
      <c r="D7" s="147"/>
      <c r="E7" s="147"/>
      <c r="F7" s="147" t="s">
        <v>353</v>
      </c>
      <c r="G7" s="147"/>
      <c r="H7" s="147"/>
      <c r="I7" s="147"/>
      <c r="J7" s="147"/>
      <c r="K7" s="147"/>
      <c r="L7" s="147"/>
      <c r="M7" s="147"/>
    </row>
    <row r="8" spans="1:13" ht="15" customHeight="1">
      <c r="A8" s="146"/>
      <c r="B8" s="147"/>
      <c r="C8" s="147"/>
      <c r="D8" s="147"/>
      <c r="E8" s="147"/>
      <c r="F8" s="147"/>
      <c r="G8" s="147"/>
      <c r="H8" s="147"/>
      <c r="I8" s="147"/>
      <c r="J8" s="147"/>
      <c r="K8" s="147"/>
      <c r="L8" s="147"/>
      <c r="M8" s="147"/>
    </row>
    <row r="9" spans="1:13" ht="15" customHeight="1">
      <c r="A9" s="148"/>
      <c r="B9" s="148"/>
      <c r="C9" s="148"/>
      <c r="D9" s="149" t="s">
        <v>354</v>
      </c>
      <c r="E9" s="149"/>
      <c r="F9" s="149"/>
      <c r="G9" s="149"/>
      <c r="H9" s="149"/>
      <c r="I9" s="150"/>
      <c r="J9" s="150"/>
      <c r="K9" s="150"/>
      <c r="L9" s="148"/>
      <c r="M9" s="149"/>
    </row>
    <row r="10" spans="1:13" ht="15" customHeight="1">
      <c r="A10" s="150" t="s">
        <v>344</v>
      </c>
      <c r="B10" s="148"/>
      <c r="C10" s="148"/>
      <c r="D10" s="150"/>
      <c r="E10" s="150"/>
      <c r="F10" s="150"/>
      <c r="G10" s="150"/>
      <c r="H10" s="150"/>
      <c r="I10" s="150"/>
      <c r="J10" s="150"/>
      <c r="K10" s="150"/>
      <c r="L10" s="148"/>
      <c r="M10" s="149"/>
    </row>
    <row r="11" spans="1:13" ht="22.5" customHeight="1">
      <c r="A11" s="199" t="s">
        <v>279</v>
      </c>
      <c r="B11" s="481" t="s">
        <v>355</v>
      </c>
      <c r="C11" s="482"/>
      <c r="D11" s="482"/>
      <c r="E11" s="482"/>
      <c r="F11" s="483"/>
      <c r="G11" s="481" t="s">
        <v>356</v>
      </c>
      <c r="H11" s="483"/>
      <c r="I11" s="493" t="s">
        <v>357</v>
      </c>
      <c r="J11" s="494"/>
      <c r="K11" s="493" t="s">
        <v>358</v>
      </c>
      <c r="L11" s="494"/>
      <c r="M11" s="151" t="s">
        <v>342</v>
      </c>
    </row>
    <row r="12" spans="1:13" ht="15" customHeight="1">
      <c r="A12" s="199"/>
      <c r="B12" s="201" t="s">
        <v>365</v>
      </c>
      <c r="C12" s="202"/>
      <c r="D12" s="202"/>
      <c r="E12" s="202"/>
      <c r="F12" s="203"/>
      <c r="G12" s="481">
        <v>34</v>
      </c>
      <c r="H12" s="483"/>
      <c r="I12" s="497">
        <v>63.16</v>
      </c>
      <c r="J12" s="498"/>
      <c r="K12" s="500">
        <v>168</v>
      </c>
      <c r="L12" s="501"/>
      <c r="M12" s="152">
        <f>G12*I12*K12</f>
        <v>360769.92</v>
      </c>
    </row>
    <row r="13" spans="1:13" ht="15" customHeight="1">
      <c r="A13" s="199"/>
      <c r="B13" s="201" t="s">
        <v>366</v>
      </c>
      <c r="C13" s="202"/>
      <c r="D13" s="202"/>
      <c r="E13" s="202"/>
      <c r="F13" s="203"/>
      <c r="G13" s="481">
        <v>7</v>
      </c>
      <c r="H13" s="483"/>
      <c r="I13" s="497">
        <v>31.58</v>
      </c>
      <c r="J13" s="498"/>
      <c r="K13" s="500">
        <v>168</v>
      </c>
      <c r="L13" s="501"/>
      <c r="M13" s="152">
        <f>G13*I13*K13</f>
        <v>37138.08</v>
      </c>
    </row>
    <row r="14" spans="1:13" ht="15" customHeight="1">
      <c r="A14" s="153"/>
      <c r="B14" s="484" t="s">
        <v>300</v>
      </c>
      <c r="C14" s="485"/>
      <c r="D14" s="485"/>
      <c r="E14" s="485"/>
      <c r="F14" s="486"/>
      <c r="G14" s="471" t="s">
        <v>34</v>
      </c>
      <c r="H14" s="492"/>
      <c r="I14" s="495" t="s">
        <v>34</v>
      </c>
      <c r="J14" s="496"/>
      <c r="K14" s="497" t="s">
        <v>34</v>
      </c>
      <c r="L14" s="498"/>
      <c r="M14" s="154">
        <f>SUM(M12:N13)</f>
        <v>397908</v>
      </c>
    </row>
    <row r="15" spans="1:13" ht="15" customHeight="1">
      <c r="A15" s="150"/>
      <c r="B15" s="149"/>
      <c r="C15" s="149"/>
      <c r="D15" s="149"/>
      <c r="E15" s="149"/>
      <c r="F15" s="149"/>
      <c r="G15" s="149"/>
      <c r="H15" s="149"/>
      <c r="I15" s="149"/>
      <c r="J15" s="149"/>
      <c r="K15" s="149"/>
      <c r="L15" s="149"/>
      <c r="M15" s="149"/>
    </row>
    <row r="16" spans="1:13" ht="15" customHeight="1">
      <c r="A16" s="150"/>
      <c r="B16" s="149"/>
      <c r="C16" s="149"/>
      <c r="D16" s="149" t="s">
        <v>359</v>
      </c>
      <c r="E16" s="149"/>
      <c r="F16" s="149"/>
      <c r="G16" s="149"/>
      <c r="H16" s="149"/>
      <c r="I16" s="150"/>
      <c r="J16" s="149"/>
      <c r="K16" s="149"/>
      <c r="L16" s="149"/>
      <c r="M16" s="149"/>
    </row>
    <row r="17" spans="1:13" ht="15" customHeight="1">
      <c r="A17" s="150" t="s">
        <v>344</v>
      </c>
      <c r="B17" s="148"/>
      <c r="C17" s="148"/>
      <c r="D17" s="150"/>
      <c r="E17" s="150"/>
      <c r="F17" s="149"/>
      <c r="G17" s="149"/>
      <c r="H17" s="149"/>
      <c r="I17" s="149"/>
      <c r="J17" s="149"/>
      <c r="K17" s="149"/>
      <c r="L17" s="149"/>
      <c r="M17" s="149"/>
    </row>
    <row r="18" spans="1:13" ht="15" customHeight="1">
      <c r="A18" s="199" t="s">
        <v>279</v>
      </c>
      <c r="B18" s="481" t="s">
        <v>355</v>
      </c>
      <c r="C18" s="482"/>
      <c r="D18" s="482"/>
      <c r="E18" s="482"/>
      <c r="F18" s="483"/>
      <c r="G18" s="481" t="s">
        <v>356</v>
      </c>
      <c r="H18" s="483"/>
      <c r="I18" s="493" t="s">
        <v>357</v>
      </c>
      <c r="J18" s="494"/>
      <c r="K18" s="493" t="s">
        <v>358</v>
      </c>
      <c r="L18" s="494"/>
      <c r="M18" s="151" t="s">
        <v>342</v>
      </c>
    </row>
    <row r="19" spans="1:13" ht="15" customHeight="1">
      <c r="A19" s="199"/>
      <c r="B19" s="201" t="s">
        <v>368</v>
      </c>
      <c r="C19" s="202"/>
      <c r="D19" s="202"/>
      <c r="E19" s="202"/>
      <c r="F19" s="203"/>
      <c r="G19" s="481">
        <v>4</v>
      </c>
      <c r="H19" s="483"/>
      <c r="I19" s="497">
        <v>15</v>
      </c>
      <c r="J19" s="498"/>
      <c r="K19" s="500">
        <v>205</v>
      </c>
      <c r="L19" s="501"/>
      <c r="M19" s="152">
        <f>G19*I19*K19</f>
        <v>12300</v>
      </c>
    </row>
    <row r="20" spans="1:13" ht="15" customHeight="1">
      <c r="A20" s="199"/>
      <c r="B20" s="201" t="s">
        <v>369</v>
      </c>
      <c r="C20" s="202"/>
      <c r="D20" s="202"/>
      <c r="E20" s="202"/>
      <c r="F20" s="203"/>
      <c r="G20" s="481">
        <v>5</v>
      </c>
      <c r="H20" s="483"/>
      <c r="I20" s="497">
        <v>15</v>
      </c>
      <c r="J20" s="498"/>
      <c r="K20" s="500">
        <v>219</v>
      </c>
      <c r="L20" s="501"/>
      <c r="M20" s="152">
        <f>G20*I20*K20</f>
        <v>16425</v>
      </c>
    </row>
    <row r="21" spans="1:13" ht="15" customHeight="1">
      <c r="A21" s="153"/>
      <c r="B21" s="484" t="s">
        <v>300</v>
      </c>
      <c r="C21" s="485"/>
      <c r="D21" s="485"/>
      <c r="E21" s="485"/>
      <c r="F21" s="486"/>
      <c r="G21" s="471" t="s">
        <v>34</v>
      </c>
      <c r="H21" s="492"/>
      <c r="I21" s="495" t="s">
        <v>34</v>
      </c>
      <c r="J21" s="496"/>
      <c r="K21" s="497" t="s">
        <v>34</v>
      </c>
      <c r="L21" s="498"/>
      <c r="M21" s="154">
        <f>SUM(M19:M20)</f>
        <v>28725</v>
      </c>
    </row>
    <row r="22" spans="1:13" ht="15" customHeight="1">
      <c r="A22" s="150"/>
      <c r="B22" s="149"/>
      <c r="C22" s="149"/>
      <c r="D22" s="149"/>
      <c r="E22" s="149"/>
      <c r="F22" s="149"/>
      <c r="G22" s="149"/>
      <c r="H22" s="149"/>
      <c r="I22" s="149"/>
      <c r="J22" s="149"/>
      <c r="K22" s="149"/>
      <c r="L22" s="149"/>
      <c r="M22" s="149"/>
    </row>
    <row r="23" spans="1:13" ht="15" customHeight="1">
      <c r="A23" s="148"/>
      <c r="B23" s="148"/>
      <c r="C23" s="148"/>
      <c r="D23" s="149" t="s">
        <v>360</v>
      </c>
      <c r="E23" s="149"/>
      <c r="F23" s="149"/>
      <c r="G23" s="149"/>
      <c r="H23" s="149"/>
      <c r="I23" s="150"/>
      <c r="J23" s="150"/>
      <c r="K23" s="150"/>
      <c r="L23" s="148"/>
      <c r="M23" s="149"/>
    </row>
    <row r="24" spans="1:13" ht="15" customHeight="1">
      <c r="A24" s="150" t="s">
        <v>344</v>
      </c>
      <c r="B24" s="148"/>
      <c r="C24" s="148"/>
      <c r="D24" s="150"/>
      <c r="E24" s="150"/>
      <c r="F24" s="150"/>
      <c r="G24" s="150"/>
      <c r="H24" s="150"/>
      <c r="I24" s="150"/>
      <c r="J24" s="150"/>
      <c r="K24" s="150"/>
      <c r="L24" s="148"/>
      <c r="M24" s="149"/>
    </row>
    <row r="25" spans="1:13" ht="24" customHeight="1">
      <c r="A25" s="199" t="s">
        <v>279</v>
      </c>
      <c r="B25" s="481" t="s">
        <v>355</v>
      </c>
      <c r="C25" s="482"/>
      <c r="D25" s="482"/>
      <c r="E25" s="482"/>
      <c r="F25" s="483"/>
      <c r="G25" s="481" t="s">
        <v>356</v>
      </c>
      <c r="H25" s="483"/>
      <c r="I25" s="493" t="s">
        <v>357</v>
      </c>
      <c r="J25" s="494"/>
      <c r="K25" s="493" t="s">
        <v>358</v>
      </c>
      <c r="L25" s="494"/>
      <c r="M25" s="151" t="s">
        <v>342</v>
      </c>
    </row>
    <row r="26" spans="1:13" ht="15" customHeight="1">
      <c r="A26" s="199"/>
      <c r="B26" s="489" t="s">
        <v>367</v>
      </c>
      <c r="C26" s="490"/>
      <c r="D26" s="490"/>
      <c r="E26" s="490"/>
      <c r="F26" s="491"/>
      <c r="G26" s="481">
        <v>29</v>
      </c>
      <c r="H26" s="483"/>
      <c r="I26" s="497">
        <v>60</v>
      </c>
      <c r="J26" s="498"/>
      <c r="K26" s="500">
        <v>204</v>
      </c>
      <c r="L26" s="501"/>
      <c r="M26" s="200">
        <f>SUM(G26*I26*K26)-33600</f>
        <v>321360</v>
      </c>
    </row>
    <row r="27" spans="1:13" ht="15" customHeight="1">
      <c r="A27" s="199"/>
      <c r="B27" s="489" t="s">
        <v>535</v>
      </c>
      <c r="C27" s="490"/>
      <c r="D27" s="490"/>
      <c r="E27" s="490"/>
      <c r="F27" s="491"/>
      <c r="G27" s="481">
        <v>10</v>
      </c>
      <c r="H27" s="483"/>
      <c r="I27" s="497">
        <v>160</v>
      </c>
      <c r="J27" s="498"/>
      <c r="K27" s="500">
        <v>21</v>
      </c>
      <c r="L27" s="501"/>
      <c r="M27" s="200">
        <f>G27*I27*K27</f>
        <v>33600</v>
      </c>
    </row>
    <row r="28" spans="1:13" ht="15" customHeight="1">
      <c r="A28" s="153"/>
      <c r="B28" s="484" t="s">
        <v>300</v>
      </c>
      <c r="C28" s="485"/>
      <c r="D28" s="485"/>
      <c r="E28" s="485"/>
      <c r="F28" s="486"/>
      <c r="G28" s="471" t="s">
        <v>34</v>
      </c>
      <c r="H28" s="472"/>
      <c r="I28" s="495" t="s">
        <v>34</v>
      </c>
      <c r="J28" s="472"/>
      <c r="K28" s="497" t="s">
        <v>34</v>
      </c>
      <c r="L28" s="498"/>
      <c r="M28" s="198">
        <f>SUM(M26:M27)</f>
        <v>354960</v>
      </c>
    </row>
    <row r="29" spans="1:13" ht="15" customHeight="1">
      <c r="A29" s="146"/>
      <c r="B29" s="147"/>
      <c r="C29" s="147"/>
      <c r="D29" s="147"/>
      <c r="E29" s="147"/>
      <c r="F29" s="147"/>
      <c r="G29" s="147"/>
      <c r="H29" s="147"/>
      <c r="I29" s="147"/>
      <c r="J29" s="147"/>
      <c r="K29" s="147"/>
      <c r="L29" s="147"/>
      <c r="M29" s="147"/>
    </row>
    <row r="30" spans="1:13" ht="15" customHeight="1">
      <c r="A30" s="148"/>
      <c r="B30" s="148"/>
      <c r="C30" s="148"/>
      <c r="D30" s="149" t="s">
        <v>361</v>
      </c>
      <c r="E30" s="149"/>
      <c r="F30" s="149"/>
      <c r="G30" s="149"/>
      <c r="H30" s="149"/>
      <c r="I30" s="150"/>
      <c r="J30" s="150"/>
      <c r="K30" s="150"/>
      <c r="L30" s="148"/>
      <c r="M30" s="147"/>
    </row>
    <row r="31" spans="1:13" ht="15" customHeight="1">
      <c r="A31" s="150" t="s">
        <v>344</v>
      </c>
      <c r="B31" s="148"/>
      <c r="C31" s="148"/>
      <c r="D31" s="150"/>
      <c r="E31" s="150"/>
      <c r="F31" s="150"/>
      <c r="G31" s="150"/>
      <c r="H31" s="150"/>
      <c r="I31" s="150"/>
      <c r="J31" s="150"/>
      <c r="K31" s="150"/>
      <c r="L31" s="148"/>
      <c r="M31" s="147"/>
    </row>
    <row r="32" spans="1:13" ht="23.25" customHeight="1">
      <c r="A32" s="155" t="s">
        <v>279</v>
      </c>
      <c r="B32" s="473" t="s">
        <v>355</v>
      </c>
      <c r="C32" s="473"/>
      <c r="D32" s="473"/>
      <c r="E32" s="473"/>
      <c r="F32" s="473"/>
      <c r="G32" s="505" t="s">
        <v>362</v>
      </c>
      <c r="H32" s="505"/>
      <c r="I32" s="505" t="s">
        <v>363</v>
      </c>
      <c r="J32" s="505"/>
      <c r="K32" s="505" t="s">
        <v>342</v>
      </c>
      <c r="L32" s="505"/>
      <c r="M32" s="147"/>
    </row>
    <row r="33" spans="1:13" ht="15" customHeight="1">
      <c r="A33" s="155"/>
      <c r="B33" s="487" t="s">
        <v>364</v>
      </c>
      <c r="C33" s="487"/>
      <c r="D33" s="487"/>
      <c r="E33" s="487"/>
      <c r="F33" s="487"/>
      <c r="G33" s="488">
        <v>1170.32</v>
      </c>
      <c r="H33" s="488"/>
      <c r="I33" s="480">
        <v>12</v>
      </c>
      <c r="J33" s="480"/>
      <c r="K33" s="488">
        <f>G33*I33</f>
        <v>14043.84</v>
      </c>
      <c r="L33" s="488"/>
      <c r="M33" s="147"/>
    </row>
    <row r="34" spans="1:13" ht="15" customHeight="1">
      <c r="A34" s="153"/>
      <c r="B34" s="499" t="s">
        <v>300</v>
      </c>
      <c r="C34" s="499"/>
      <c r="D34" s="499"/>
      <c r="E34" s="499"/>
      <c r="F34" s="499"/>
      <c r="G34" s="495" t="s">
        <v>34</v>
      </c>
      <c r="H34" s="496"/>
      <c r="I34" s="488" t="s">
        <v>34</v>
      </c>
      <c r="J34" s="488"/>
      <c r="K34" s="504">
        <f>SUM(K33:L33)</f>
        <v>14043.84</v>
      </c>
      <c r="L34" s="504"/>
      <c r="M34" s="147"/>
    </row>
    <row r="35" spans="1:13" ht="15" customHeight="1">
      <c r="A35" s="146"/>
      <c r="B35" s="147"/>
      <c r="C35" s="147"/>
      <c r="D35" s="147"/>
      <c r="E35" s="147"/>
      <c r="F35" s="147"/>
      <c r="G35" s="147"/>
      <c r="H35" s="147"/>
      <c r="I35" s="147"/>
      <c r="J35" s="147"/>
      <c r="K35" s="147"/>
      <c r="L35" s="147"/>
      <c r="M35" s="147"/>
    </row>
    <row r="36" spans="1:13" ht="15" customHeight="1">
      <c r="A36" s="148"/>
      <c r="B36" s="148"/>
      <c r="C36" s="148"/>
      <c r="D36" s="149" t="s">
        <v>540</v>
      </c>
      <c r="E36" s="149"/>
      <c r="F36" s="149"/>
      <c r="G36" s="149"/>
      <c r="H36" s="149"/>
      <c r="I36" s="150"/>
      <c r="J36" s="150"/>
      <c r="K36" s="150"/>
      <c r="L36" s="148"/>
      <c r="M36" s="147"/>
    </row>
    <row r="37" spans="1:13" ht="15" customHeight="1">
      <c r="A37" s="150" t="s">
        <v>344</v>
      </c>
      <c r="B37" s="148"/>
      <c r="C37" s="148"/>
      <c r="D37" s="150"/>
      <c r="E37" s="150"/>
      <c r="F37" s="150"/>
      <c r="G37" s="150"/>
      <c r="H37" s="150"/>
      <c r="I37" s="150"/>
      <c r="J37" s="150"/>
      <c r="K37" s="150"/>
      <c r="L37" s="148"/>
      <c r="M37" s="147"/>
    </row>
    <row r="38" spans="1:13" ht="15" customHeight="1">
      <c r="A38" s="155" t="s">
        <v>279</v>
      </c>
      <c r="B38" s="473" t="s">
        <v>355</v>
      </c>
      <c r="C38" s="473"/>
      <c r="D38" s="473"/>
      <c r="E38" s="473"/>
      <c r="F38" s="473"/>
      <c r="G38" s="505" t="s">
        <v>362</v>
      </c>
      <c r="H38" s="505"/>
      <c r="I38" s="505" t="s">
        <v>356</v>
      </c>
      <c r="J38" s="505"/>
      <c r="K38" s="493" t="s">
        <v>342</v>
      </c>
      <c r="L38" s="494"/>
      <c r="M38" s="147"/>
    </row>
    <row r="39" spans="1:13" ht="15" customHeight="1">
      <c r="A39" s="155"/>
      <c r="B39" s="487" t="s">
        <v>541</v>
      </c>
      <c r="C39" s="487"/>
      <c r="D39" s="487"/>
      <c r="E39" s="487"/>
      <c r="F39" s="487"/>
      <c r="G39" s="488">
        <v>100</v>
      </c>
      <c r="H39" s="488"/>
      <c r="I39" s="480">
        <v>80</v>
      </c>
      <c r="J39" s="480"/>
      <c r="K39" s="497">
        <f>G39*I39</f>
        <v>8000</v>
      </c>
      <c r="L39" s="498"/>
      <c r="M39" s="147"/>
    </row>
    <row r="40" spans="1:13" ht="15" customHeight="1">
      <c r="A40" s="153"/>
      <c r="B40" s="499" t="s">
        <v>300</v>
      </c>
      <c r="C40" s="499"/>
      <c r="D40" s="499"/>
      <c r="E40" s="499"/>
      <c r="F40" s="499"/>
      <c r="G40" s="495" t="s">
        <v>34</v>
      </c>
      <c r="H40" s="496"/>
      <c r="I40" s="488" t="s">
        <v>34</v>
      </c>
      <c r="J40" s="488"/>
      <c r="K40" s="510">
        <f>SUM(K39:L39)</f>
        <v>8000</v>
      </c>
      <c r="L40" s="511"/>
      <c r="M40" s="147"/>
    </row>
    <row r="41" spans="1:13" ht="15" customHeight="1">
      <c r="A41" s="146"/>
      <c r="B41" s="147"/>
      <c r="C41" s="147"/>
      <c r="D41" s="147"/>
      <c r="E41" s="147"/>
      <c r="F41" s="147"/>
      <c r="G41" s="147"/>
      <c r="H41" s="147"/>
      <c r="I41" s="147"/>
      <c r="J41" s="147"/>
      <c r="K41" s="147"/>
      <c r="L41" s="147"/>
      <c r="M41" s="147"/>
    </row>
    <row r="42" spans="1:13" ht="15" customHeight="1">
      <c r="A42" s="146"/>
      <c r="B42" s="146"/>
      <c r="C42" s="146" t="s">
        <v>275</v>
      </c>
      <c r="D42" s="146"/>
      <c r="E42" s="146"/>
      <c r="F42" s="146"/>
      <c r="G42" s="146"/>
      <c r="H42" s="146"/>
      <c r="I42" s="146"/>
      <c r="J42" s="146"/>
      <c r="K42" s="146"/>
      <c r="L42" s="146"/>
      <c r="M42" s="146"/>
    </row>
    <row r="43" spans="1:13" ht="15" customHeight="1">
      <c r="A43" s="146" t="s">
        <v>276</v>
      </c>
      <c r="B43" s="146"/>
      <c r="C43" s="146"/>
      <c r="D43" s="146"/>
      <c r="E43" s="146"/>
      <c r="F43" s="146"/>
      <c r="G43" s="146"/>
      <c r="H43" s="146"/>
      <c r="I43" s="146"/>
      <c r="J43" s="146"/>
      <c r="K43" s="146"/>
      <c r="L43" s="146"/>
      <c r="M43" s="146"/>
    </row>
    <row r="44" spans="1:13" ht="15" customHeight="1">
      <c r="A44" s="146" t="s">
        <v>277</v>
      </c>
      <c r="B44" s="146"/>
      <c r="C44" s="146"/>
      <c r="D44" s="146"/>
      <c r="E44" s="146"/>
      <c r="F44" s="146"/>
      <c r="G44" s="146"/>
      <c r="H44" s="146"/>
      <c r="I44" s="146"/>
      <c r="J44" s="146"/>
      <c r="K44" s="146"/>
      <c r="L44" s="146"/>
      <c r="M44" s="146"/>
    </row>
    <row r="45" spans="1:13" ht="15" customHeight="1">
      <c r="A45" s="146"/>
      <c r="B45" s="146"/>
      <c r="C45" s="146" t="s">
        <v>278</v>
      </c>
      <c r="D45" s="146"/>
      <c r="E45" s="146"/>
      <c r="F45" s="146"/>
      <c r="G45" s="146"/>
      <c r="H45" s="146"/>
      <c r="I45" s="146"/>
      <c r="J45" s="146"/>
      <c r="K45" s="146"/>
      <c r="L45" s="146"/>
      <c r="M45" s="146"/>
    </row>
    <row r="46" spans="1:13" ht="30.75" customHeight="1">
      <c r="A46" s="503" t="s">
        <v>279</v>
      </c>
      <c r="B46" s="474" t="s">
        <v>280</v>
      </c>
      <c r="C46" s="474"/>
      <c r="D46" s="474" t="s">
        <v>281</v>
      </c>
      <c r="E46" s="474"/>
      <c r="F46" s="474" t="s">
        <v>282</v>
      </c>
      <c r="G46" s="474"/>
      <c r="H46" s="474"/>
      <c r="I46" s="474"/>
      <c r="J46" s="474" t="s">
        <v>283</v>
      </c>
      <c r="K46" s="474" t="s">
        <v>284</v>
      </c>
      <c r="L46" s="474" t="s">
        <v>285</v>
      </c>
      <c r="M46" s="474"/>
    </row>
    <row r="47" spans="1:13" ht="15" customHeight="1">
      <c r="A47" s="503"/>
      <c r="B47" s="474"/>
      <c r="C47" s="474"/>
      <c r="D47" s="474"/>
      <c r="E47" s="474"/>
      <c r="F47" s="503" t="s">
        <v>286</v>
      </c>
      <c r="G47" s="503" t="s">
        <v>42</v>
      </c>
      <c r="H47" s="503"/>
      <c r="I47" s="503"/>
      <c r="J47" s="474"/>
      <c r="K47" s="474"/>
      <c r="L47" s="474"/>
      <c r="M47" s="474"/>
    </row>
    <row r="48" spans="1:13" ht="66" customHeight="1">
      <c r="A48" s="503"/>
      <c r="B48" s="474"/>
      <c r="C48" s="474"/>
      <c r="D48" s="474"/>
      <c r="E48" s="474"/>
      <c r="F48" s="503"/>
      <c r="G48" s="156" t="s">
        <v>287</v>
      </c>
      <c r="H48" s="156" t="s">
        <v>288</v>
      </c>
      <c r="I48" s="156" t="s">
        <v>289</v>
      </c>
      <c r="J48" s="474"/>
      <c r="K48" s="474"/>
      <c r="L48" s="474"/>
      <c r="M48" s="474"/>
    </row>
    <row r="49" spans="1:13" ht="15" customHeight="1">
      <c r="A49" s="157">
        <v>1</v>
      </c>
      <c r="B49" s="447">
        <v>2</v>
      </c>
      <c r="C49" s="447"/>
      <c r="D49" s="447">
        <v>3</v>
      </c>
      <c r="E49" s="447"/>
      <c r="F49" s="157">
        <v>4</v>
      </c>
      <c r="G49" s="157">
        <v>5</v>
      </c>
      <c r="H49" s="157">
        <v>6</v>
      </c>
      <c r="I49" s="157">
        <v>7</v>
      </c>
      <c r="J49" s="157">
        <v>8</v>
      </c>
      <c r="K49" s="157">
        <v>9</v>
      </c>
      <c r="L49" s="447">
        <v>10</v>
      </c>
      <c r="M49" s="447"/>
    </row>
    <row r="50" spans="1:13" ht="15" customHeight="1">
      <c r="A50" s="157">
        <v>1</v>
      </c>
      <c r="B50" s="478" t="s">
        <v>290</v>
      </c>
      <c r="C50" s="479"/>
      <c r="D50" s="478">
        <v>1</v>
      </c>
      <c r="E50" s="479"/>
      <c r="F50" s="207">
        <f>SUM(G50:I50)</f>
        <v>28218.25</v>
      </c>
      <c r="G50" s="207">
        <v>13765</v>
      </c>
      <c r="H50" s="207">
        <f>G50*25%</f>
        <v>3441.25</v>
      </c>
      <c r="I50" s="207">
        <f>G50*80%</f>
        <v>11012</v>
      </c>
      <c r="J50" s="207"/>
      <c r="K50" s="207">
        <v>1.15</v>
      </c>
      <c r="L50" s="460">
        <f aca="true" t="shared" si="0" ref="L50:L56">D50*F50*K50*12*0.5386*1.09184*1.14153</f>
        <v>261409.78658243487</v>
      </c>
      <c r="M50" s="462"/>
    </row>
    <row r="51" spans="1:13" ht="15" customHeight="1">
      <c r="A51" s="157">
        <v>2</v>
      </c>
      <c r="B51" s="478" t="s">
        <v>291</v>
      </c>
      <c r="C51" s="479"/>
      <c r="D51" s="478">
        <v>3</v>
      </c>
      <c r="E51" s="479"/>
      <c r="F51" s="207">
        <f aca="true" t="shared" si="1" ref="F51:F57">SUM(G51:I51)</f>
        <v>20476.75</v>
      </c>
      <c r="G51" s="207">
        <v>11701</v>
      </c>
      <c r="H51" s="207">
        <f>G51*25%</f>
        <v>2925.25</v>
      </c>
      <c r="I51" s="207">
        <f>G51*50%</f>
        <v>5850.5</v>
      </c>
      <c r="J51" s="207"/>
      <c r="K51" s="207">
        <v>1.15</v>
      </c>
      <c r="L51" s="460">
        <f t="shared" si="0"/>
        <v>569080.9508812778</v>
      </c>
      <c r="M51" s="462"/>
    </row>
    <row r="52" spans="1:13" ht="15" customHeight="1">
      <c r="A52" s="157">
        <v>3</v>
      </c>
      <c r="B52" s="478" t="s">
        <v>292</v>
      </c>
      <c r="C52" s="479"/>
      <c r="D52" s="478">
        <v>28.65</v>
      </c>
      <c r="E52" s="479"/>
      <c r="F52" s="207">
        <f t="shared" si="1"/>
        <v>30140</v>
      </c>
      <c r="G52" s="207">
        <v>11140</v>
      </c>
      <c r="H52" s="207">
        <f>G52*25%+3920</f>
        <v>6705</v>
      </c>
      <c r="I52" s="207">
        <f>6215.11+5817.39+262.5</f>
        <v>12295</v>
      </c>
      <c r="J52" s="207"/>
      <c r="K52" s="207">
        <v>1.15</v>
      </c>
      <c r="L52" s="460">
        <f t="shared" si="0"/>
        <v>7999441.007914554</v>
      </c>
      <c r="M52" s="462"/>
    </row>
    <row r="53" spans="1:13" ht="15" customHeight="1">
      <c r="A53" s="157"/>
      <c r="B53" s="478" t="s">
        <v>293</v>
      </c>
      <c r="C53" s="479"/>
      <c r="D53" s="478">
        <v>19.45</v>
      </c>
      <c r="E53" s="479"/>
      <c r="F53" s="207">
        <f t="shared" si="1"/>
        <v>31226</v>
      </c>
      <c r="G53" s="207">
        <v>11200</v>
      </c>
      <c r="H53" s="207">
        <f>G53*25%+3920</f>
        <v>6720</v>
      </c>
      <c r="I53" s="207">
        <f>6487.93+6818.07</f>
        <v>13306</v>
      </c>
      <c r="J53" s="207"/>
      <c r="K53" s="207">
        <v>1.15</v>
      </c>
      <c r="L53" s="460">
        <f t="shared" si="0"/>
        <v>5626362.719827045</v>
      </c>
      <c r="M53" s="462"/>
    </row>
    <row r="54" spans="1:13" ht="15" customHeight="1">
      <c r="A54" s="157"/>
      <c r="B54" s="478" t="s">
        <v>294</v>
      </c>
      <c r="C54" s="479"/>
      <c r="D54" s="478">
        <v>4.65</v>
      </c>
      <c r="E54" s="479"/>
      <c r="F54" s="207">
        <f t="shared" si="1"/>
        <v>26577</v>
      </c>
      <c r="G54" s="207">
        <v>12190</v>
      </c>
      <c r="H54" s="207">
        <f>G54*25%</f>
        <v>3047.5</v>
      </c>
      <c r="I54" s="207">
        <f>5340.74+5998.76</f>
        <v>11339.5</v>
      </c>
      <c r="J54" s="207"/>
      <c r="K54" s="207">
        <v>1.15</v>
      </c>
      <c r="L54" s="460">
        <f t="shared" si="0"/>
        <v>1144855.500454719</v>
      </c>
      <c r="M54" s="462"/>
    </row>
    <row r="55" spans="1:13" ht="15" customHeight="1">
      <c r="A55" s="157">
        <v>4</v>
      </c>
      <c r="B55" s="478" t="s">
        <v>295</v>
      </c>
      <c r="C55" s="479"/>
      <c r="D55" s="478">
        <f>0.5+4</f>
        <v>4.5</v>
      </c>
      <c r="E55" s="479"/>
      <c r="F55" s="207">
        <f t="shared" si="1"/>
        <v>12392</v>
      </c>
      <c r="G55" s="207">
        <v>8429</v>
      </c>
      <c r="H55" s="207">
        <v>336.08</v>
      </c>
      <c r="I55" s="207">
        <f>3973.43-74.51-272</f>
        <v>3626.9199999999996</v>
      </c>
      <c r="J55" s="207"/>
      <c r="K55" s="207">
        <v>1.15</v>
      </c>
      <c r="L55" s="460">
        <f t="shared" si="0"/>
        <v>516589.63043359865</v>
      </c>
      <c r="M55" s="462"/>
    </row>
    <row r="56" spans="1:13" ht="15" customHeight="1">
      <c r="A56" s="157"/>
      <c r="B56" s="478" t="s">
        <v>296</v>
      </c>
      <c r="C56" s="479"/>
      <c r="D56" s="478">
        <v>4</v>
      </c>
      <c r="E56" s="479"/>
      <c r="F56" s="207">
        <f t="shared" si="1"/>
        <v>12392</v>
      </c>
      <c r="G56" s="207">
        <v>8402</v>
      </c>
      <c r="H56" s="207">
        <v>336.08</v>
      </c>
      <c r="I56" s="207">
        <f>3973.43-319.51</f>
        <v>3653.92</v>
      </c>
      <c r="J56" s="207"/>
      <c r="K56" s="207">
        <v>1.15</v>
      </c>
      <c r="L56" s="460">
        <f t="shared" si="0"/>
        <v>459190.7826076432</v>
      </c>
      <c r="M56" s="462"/>
    </row>
    <row r="57" spans="1:13" ht="15" customHeight="1">
      <c r="A57" s="157">
        <v>5</v>
      </c>
      <c r="B57" s="478" t="s">
        <v>297</v>
      </c>
      <c r="C57" s="479"/>
      <c r="D57" s="478">
        <v>19.85</v>
      </c>
      <c r="E57" s="479"/>
      <c r="F57" s="207">
        <f t="shared" si="1"/>
        <v>12392</v>
      </c>
      <c r="G57" s="207">
        <v>8391</v>
      </c>
      <c r="H57" s="207">
        <v>2011.84</v>
      </c>
      <c r="I57" s="207">
        <f>3671.16-1682</f>
        <v>1989.1599999999999</v>
      </c>
      <c r="J57" s="207"/>
      <c r="K57" s="207">
        <v>1.15</v>
      </c>
      <c r="L57" s="460">
        <f>D57*F57*K57*12*0.5386*1.09184*1.14153+40.25</f>
        <v>2278774.50869043</v>
      </c>
      <c r="M57" s="462"/>
    </row>
    <row r="58" spans="1:13" ht="15" customHeight="1">
      <c r="A58" s="158"/>
      <c r="B58" s="210"/>
      <c r="C58" s="208"/>
      <c r="D58" s="478"/>
      <c r="E58" s="479"/>
      <c r="F58" s="207">
        <f>SUM(G58:I58)</f>
        <v>0</v>
      </c>
      <c r="G58" s="207"/>
      <c r="H58" s="207"/>
      <c r="I58" s="207"/>
      <c r="J58" s="207"/>
      <c r="K58" s="207"/>
      <c r="L58" s="460">
        <f>D58*F58*K58*12</f>
        <v>0</v>
      </c>
      <c r="M58" s="462"/>
    </row>
    <row r="59" spans="1:15" ht="15" customHeight="1">
      <c r="A59" s="478" t="s">
        <v>298</v>
      </c>
      <c r="B59" s="506"/>
      <c r="C59" s="479"/>
      <c r="D59" s="460">
        <f>D50+D51+D52+D55+D57</f>
        <v>57</v>
      </c>
      <c r="E59" s="462"/>
      <c r="F59" s="207" t="s">
        <v>34</v>
      </c>
      <c r="G59" s="207" t="s">
        <v>34</v>
      </c>
      <c r="H59" s="207" t="s">
        <v>34</v>
      </c>
      <c r="I59" s="207" t="s">
        <v>34</v>
      </c>
      <c r="J59" s="206"/>
      <c r="K59" s="206" t="s">
        <v>34</v>
      </c>
      <c r="L59" s="460">
        <f>L50+L51+L52+L55+L57+0.12</f>
        <v>11625296.004502295</v>
      </c>
      <c r="M59" s="462"/>
      <c r="N59" s="141">
        <f>9328985+854938+1441373</f>
        <v>11625296</v>
      </c>
      <c r="O59" s="196">
        <f>N59/L59</f>
        <v>0.9999999996127157</v>
      </c>
    </row>
    <row r="60" spans="1:15" ht="15" customHeight="1">
      <c r="A60" s="159"/>
      <c r="B60" s="159"/>
      <c r="C60" s="159"/>
      <c r="D60" s="159"/>
      <c r="E60" s="159"/>
      <c r="F60" s="160"/>
      <c r="G60" s="160"/>
      <c r="H60" s="160"/>
      <c r="I60" s="160"/>
      <c r="J60" s="159"/>
      <c r="K60" s="159"/>
      <c r="L60" s="160"/>
      <c r="M60" s="160"/>
      <c r="O60" s="176"/>
    </row>
    <row r="61" spans="1:15" ht="12.75">
      <c r="A61" s="161"/>
      <c r="B61" s="161" t="s">
        <v>500</v>
      </c>
      <c r="C61" s="161"/>
      <c r="D61" s="161"/>
      <c r="E61" s="161"/>
      <c r="F61" s="161"/>
      <c r="G61" s="161"/>
      <c r="H61" s="161"/>
      <c r="I61" s="161"/>
      <c r="J61" s="161"/>
      <c r="K61" s="161"/>
      <c r="L61" s="161"/>
      <c r="M61" s="161"/>
      <c r="N61" s="162"/>
      <c r="O61" s="162"/>
    </row>
    <row r="62" spans="1:15" ht="12.75">
      <c r="A62" s="161" t="s">
        <v>501</v>
      </c>
      <c r="B62" s="161"/>
      <c r="C62" s="161"/>
      <c r="D62" s="161"/>
      <c r="E62" s="161"/>
      <c r="F62" s="161"/>
      <c r="G62" s="161"/>
      <c r="H62" s="161"/>
      <c r="I62" s="161"/>
      <c r="J62" s="161"/>
      <c r="K62" s="161"/>
      <c r="L62" s="161"/>
      <c r="M62" s="161"/>
      <c r="N62" s="162"/>
      <c r="O62" s="162"/>
    </row>
    <row r="63" spans="1:15" ht="24" customHeight="1">
      <c r="A63" s="438" t="s">
        <v>299</v>
      </c>
      <c r="B63" s="439"/>
      <c r="C63" s="439"/>
      <c r="D63" s="439"/>
      <c r="E63" s="440"/>
      <c r="F63" s="441" t="s">
        <v>281</v>
      </c>
      <c r="G63" s="442"/>
      <c r="H63" s="441" t="s">
        <v>282</v>
      </c>
      <c r="I63" s="443"/>
      <c r="J63" s="442"/>
      <c r="K63" s="438" t="s">
        <v>502</v>
      </c>
      <c r="L63" s="440"/>
      <c r="M63" s="161"/>
      <c r="N63" s="162"/>
      <c r="O63" s="162"/>
    </row>
    <row r="64" spans="1:15" ht="12.75">
      <c r="A64" s="431" t="s">
        <v>503</v>
      </c>
      <c r="B64" s="432"/>
      <c r="C64" s="432"/>
      <c r="D64" s="432"/>
      <c r="E64" s="433"/>
      <c r="F64" s="434">
        <v>11</v>
      </c>
      <c r="G64" s="434"/>
      <c r="H64" s="435">
        <f>K64/F64/12</f>
        <v>5750</v>
      </c>
      <c r="I64" s="435"/>
      <c r="J64" s="435"/>
      <c r="K64" s="436">
        <v>759000</v>
      </c>
      <c r="L64" s="437"/>
      <c r="M64" s="161"/>
      <c r="N64" s="162"/>
      <c r="O64" s="162"/>
    </row>
    <row r="65" spans="1:15" ht="12.75">
      <c r="A65" s="431" t="s">
        <v>504</v>
      </c>
      <c r="B65" s="432"/>
      <c r="C65" s="432"/>
      <c r="D65" s="432"/>
      <c r="E65" s="433"/>
      <c r="F65" s="434">
        <v>11</v>
      </c>
      <c r="G65" s="434"/>
      <c r="H65" s="435">
        <f>K65/F65/12</f>
        <v>1736.5</v>
      </c>
      <c r="I65" s="435"/>
      <c r="J65" s="435"/>
      <c r="K65" s="436">
        <v>229218</v>
      </c>
      <c r="L65" s="437"/>
      <c r="M65" s="161"/>
      <c r="N65" s="162"/>
      <c r="O65" s="162"/>
    </row>
    <row r="66" spans="1:15" s="138" customFormat="1" ht="12.75">
      <c r="A66" s="438" t="s">
        <v>298</v>
      </c>
      <c r="B66" s="439"/>
      <c r="C66" s="439"/>
      <c r="D66" s="439"/>
      <c r="E66" s="440"/>
      <c r="F66" s="434" t="s">
        <v>34</v>
      </c>
      <c r="G66" s="434"/>
      <c r="H66" s="434" t="s">
        <v>34</v>
      </c>
      <c r="I66" s="434"/>
      <c r="J66" s="434"/>
      <c r="K66" s="436">
        <f>SUM(K64:L65)</f>
        <v>988218</v>
      </c>
      <c r="L66" s="437"/>
      <c r="M66" s="161"/>
      <c r="N66" s="162"/>
      <c r="O66" s="162"/>
    </row>
    <row r="67" spans="1:15" ht="12.75">
      <c r="A67" s="163"/>
      <c r="B67" s="163"/>
      <c r="C67" s="163"/>
      <c r="D67" s="163"/>
      <c r="E67" s="163"/>
      <c r="F67" s="163"/>
      <c r="G67" s="163"/>
      <c r="H67" s="163"/>
      <c r="I67" s="163"/>
      <c r="J67" s="163"/>
      <c r="K67" s="164"/>
      <c r="L67" s="164"/>
      <c r="M67" s="161"/>
      <c r="N67" s="162"/>
      <c r="O67" s="162"/>
    </row>
    <row r="68" spans="1:14" ht="12.75">
      <c r="A68" s="161"/>
      <c r="B68" s="161" t="s">
        <v>534</v>
      </c>
      <c r="C68" s="161"/>
      <c r="D68" s="161"/>
      <c r="E68" s="161"/>
      <c r="F68" s="161"/>
      <c r="G68" s="161"/>
      <c r="H68" s="161"/>
      <c r="I68" s="161"/>
      <c r="J68" s="161"/>
      <c r="K68" s="161"/>
      <c r="L68" s="161"/>
      <c r="M68" s="161"/>
      <c r="N68" s="162"/>
    </row>
    <row r="69" spans="1:14" ht="12.75">
      <c r="A69" s="161" t="s">
        <v>277</v>
      </c>
      <c r="B69" s="161"/>
      <c r="C69" s="161"/>
      <c r="D69" s="161"/>
      <c r="E69" s="161"/>
      <c r="F69" s="161"/>
      <c r="G69" s="161"/>
      <c r="H69" s="161"/>
      <c r="I69" s="161"/>
      <c r="J69" s="161"/>
      <c r="K69" s="161"/>
      <c r="L69" s="161"/>
      <c r="M69" s="161"/>
      <c r="N69" s="162"/>
    </row>
    <row r="70" spans="1:14" ht="24" customHeight="1">
      <c r="A70" s="438" t="s">
        <v>299</v>
      </c>
      <c r="B70" s="439"/>
      <c r="C70" s="439"/>
      <c r="D70" s="439"/>
      <c r="E70" s="440"/>
      <c r="F70" s="441" t="s">
        <v>281</v>
      </c>
      <c r="G70" s="442"/>
      <c r="H70" s="441" t="s">
        <v>282</v>
      </c>
      <c r="I70" s="443"/>
      <c r="J70" s="442"/>
      <c r="K70" s="438" t="s">
        <v>502</v>
      </c>
      <c r="L70" s="440"/>
      <c r="M70" s="161"/>
      <c r="N70" s="162"/>
    </row>
    <row r="71" spans="1:14" ht="12.75">
      <c r="A71" s="431" t="s">
        <v>503</v>
      </c>
      <c r="B71" s="432"/>
      <c r="C71" s="432"/>
      <c r="D71" s="432"/>
      <c r="E71" s="433"/>
      <c r="F71" s="434">
        <v>2</v>
      </c>
      <c r="G71" s="434"/>
      <c r="H71" s="435">
        <f>K71/F71</f>
        <v>8003.08</v>
      </c>
      <c r="I71" s="435"/>
      <c r="J71" s="435"/>
      <c r="K71" s="436">
        <v>16006.16</v>
      </c>
      <c r="L71" s="437"/>
      <c r="M71" s="161"/>
      <c r="N71" s="162"/>
    </row>
    <row r="72" spans="1:14" ht="12.75">
      <c r="A72" s="431" t="s">
        <v>504</v>
      </c>
      <c r="B72" s="432"/>
      <c r="C72" s="432"/>
      <c r="D72" s="432"/>
      <c r="E72" s="433"/>
      <c r="F72" s="434">
        <v>2</v>
      </c>
      <c r="G72" s="434"/>
      <c r="H72" s="435">
        <f>K72/F72</f>
        <v>2416.93</v>
      </c>
      <c r="I72" s="435"/>
      <c r="J72" s="435"/>
      <c r="K72" s="436">
        <v>4833.86</v>
      </c>
      <c r="L72" s="437"/>
      <c r="M72" s="161"/>
      <c r="N72" s="162"/>
    </row>
    <row r="73" spans="1:14" s="195" customFormat="1" ht="12.75">
      <c r="A73" s="438" t="s">
        <v>298</v>
      </c>
      <c r="B73" s="439"/>
      <c r="C73" s="439"/>
      <c r="D73" s="439"/>
      <c r="E73" s="440"/>
      <c r="F73" s="434" t="s">
        <v>34</v>
      </c>
      <c r="G73" s="434"/>
      <c r="H73" s="434" t="s">
        <v>34</v>
      </c>
      <c r="I73" s="434"/>
      <c r="J73" s="434"/>
      <c r="K73" s="436">
        <f>SUM(K71:L72)</f>
        <v>20840.02</v>
      </c>
      <c r="L73" s="437"/>
      <c r="M73" s="161"/>
      <c r="N73" s="162"/>
    </row>
    <row r="74" spans="1:13" ht="12.75">
      <c r="A74" s="163"/>
      <c r="B74" s="163"/>
      <c r="C74" s="163"/>
      <c r="D74" s="163"/>
      <c r="E74" s="163"/>
      <c r="F74" s="163"/>
      <c r="G74" s="163"/>
      <c r="H74" s="163"/>
      <c r="I74" s="163"/>
      <c r="J74" s="163"/>
      <c r="K74" s="164"/>
      <c r="L74" s="164"/>
      <c r="M74" s="161"/>
    </row>
    <row r="75" spans="1:14" ht="12.75">
      <c r="A75" s="161"/>
      <c r="B75" s="197" t="s">
        <v>551</v>
      </c>
      <c r="C75" s="161"/>
      <c r="D75" s="161"/>
      <c r="E75" s="161"/>
      <c r="F75" s="161"/>
      <c r="G75" s="161"/>
      <c r="H75" s="161"/>
      <c r="I75" s="161"/>
      <c r="J75" s="161"/>
      <c r="K75" s="161"/>
      <c r="L75" s="161"/>
      <c r="M75" s="164"/>
      <c r="N75" s="138"/>
    </row>
    <row r="76" spans="1:14" ht="12.75">
      <c r="A76" s="161" t="s">
        <v>277</v>
      </c>
      <c r="B76" s="161"/>
      <c r="C76" s="161"/>
      <c r="D76" s="161"/>
      <c r="E76" s="161"/>
      <c r="F76" s="161"/>
      <c r="G76" s="161"/>
      <c r="H76" s="161"/>
      <c r="I76" s="161"/>
      <c r="J76" s="161"/>
      <c r="K76" s="161"/>
      <c r="L76" s="161"/>
      <c r="M76" s="164"/>
      <c r="N76" s="138"/>
    </row>
    <row r="77" spans="1:14" ht="12.75">
      <c r="A77" s="438" t="s">
        <v>299</v>
      </c>
      <c r="B77" s="439"/>
      <c r="C77" s="439"/>
      <c r="D77" s="439"/>
      <c r="E77" s="440"/>
      <c r="F77" s="441" t="s">
        <v>281</v>
      </c>
      <c r="G77" s="442"/>
      <c r="H77" s="441" t="s">
        <v>282</v>
      </c>
      <c r="I77" s="443"/>
      <c r="J77" s="442"/>
      <c r="K77" s="438" t="s">
        <v>502</v>
      </c>
      <c r="L77" s="440"/>
      <c r="M77" s="164"/>
      <c r="N77" s="138"/>
    </row>
    <row r="78" spans="1:14" ht="12.75">
      <c r="A78" s="431" t="s">
        <v>503</v>
      </c>
      <c r="B78" s="432"/>
      <c r="C78" s="432"/>
      <c r="D78" s="432"/>
      <c r="E78" s="433"/>
      <c r="F78" s="434"/>
      <c r="G78" s="434"/>
      <c r="H78" s="435"/>
      <c r="I78" s="435"/>
      <c r="J78" s="435"/>
      <c r="K78" s="436">
        <v>53636</v>
      </c>
      <c r="L78" s="437"/>
      <c r="M78" s="164"/>
      <c r="N78" s="138"/>
    </row>
    <row r="79" spans="1:14" ht="12.75">
      <c r="A79" s="431" t="s">
        <v>504</v>
      </c>
      <c r="B79" s="432"/>
      <c r="C79" s="432"/>
      <c r="D79" s="432"/>
      <c r="E79" s="433"/>
      <c r="F79" s="434"/>
      <c r="G79" s="434"/>
      <c r="H79" s="435"/>
      <c r="I79" s="435"/>
      <c r="J79" s="435"/>
      <c r="K79" s="436">
        <v>16198.08</v>
      </c>
      <c r="L79" s="437"/>
      <c r="M79" s="164"/>
      <c r="N79" s="138"/>
    </row>
    <row r="80" spans="1:13" s="195" customFormat="1" ht="12.75">
      <c r="A80" s="438" t="s">
        <v>298</v>
      </c>
      <c r="B80" s="439"/>
      <c r="C80" s="439"/>
      <c r="D80" s="439"/>
      <c r="E80" s="440"/>
      <c r="F80" s="434" t="s">
        <v>34</v>
      </c>
      <c r="G80" s="434"/>
      <c r="H80" s="434" t="s">
        <v>34</v>
      </c>
      <c r="I80" s="434"/>
      <c r="J80" s="434"/>
      <c r="K80" s="436">
        <f>SUM(K78:L79)</f>
        <v>69834.08</v>
      </c>
      <c r="L80" s="437"/>
      <c r="M80" s="164"/>
    </row>
    <row r="81" spans="1:14" ht="12.75">
      <c r="A81" s="163"/>
      <c r="B81" s="163"/>
      <c r="C81" s="163"/>
      <c r="D81" s="163"/>
      <c r="E81" s="163"/>
      <c r="F81" s="163"/>
      <c r="G81" s="163"/>
      <c r="H81" s="163"/>
      <c r="I81" s="163"/>
      <c r="J81" s="163"/>
      <c r="K81" s="164"/>
      <c r="L81" s="164"/>
      <c r="M81" s="161"/>
      <c r="N81" s="162"/>
    </row>
    <row r="82" spans="1:13" ht="29.25" customHeight="1">
      <c r="A82" s="146"/>
      <c r="B82" s="146"/>
      <c r="C82" s="507" t="s">
        <v>301</v>
      </c>
      <c r="D82" s="507"/>
      <c r="E82" s="507"/>
      <c r="F82" s="507"/>
      <c r="G82" s="507"/>
      <c r="H82" s="507"/>
      <c r="I82" s="507"/>
      <c r="J82" s="507"/>
      <c r="K82" s="507"/>
      <c r="L82" s="507"/>
      <c r="M82" s="146"/>
    </row>
    <row r="83" spans="1:13" ht="15" customHeight="1">
      <c r="A83" s="146" t="s">
        <v>302</v>
      </c>
      <c r="B83" s="146"/>
      <c r="C83" s="209"/>
      <c r="D83" s="209"/>
      <c r="E83" s="209"/>
      <c r="F83" s="209"/>
      <c r="G83" s="209"/>
      <c r="H83" s="209"/>
      <c r="I83" s="209"/>
      <c r="J83" s="209"/>
      <c r="K83" s="209"/>
      <c r="L83" s="209"/>
      <c r="M83" s="146"/>
    </row>
    <row r="84" spans="1:13" ht="15" customHeight="1">
      <c r="A84" s="146" t="s">
        <v>277</v>
      </c>
      <c r="B84" s="146"/>
      <c r="C84" s="209"/>
      <c r="D84" s="209"/>
      <c r="E84" s="209"/>
      <c r="F84" s="209"/>
      <c r="G84" s="209"/>
      <c r="H84" s="209"/>
      <c r="I84" s="209"/>
      <c r="J84" s="209"/>
      <c r="K84" s="209"/>
      <c r="L84" s="209"/>
      <c r="M84" s="146"/>
    </row>
    <row r="85" spans="1:13" ht="24.75" customHeight="1">
      <c r="A85" s="157" t="s">
        <v>279</v>
      </c>
      <c r="B85" s="447" t="s">
        <v>303</v>
      </c>
      <c r="C85" s="447"/>
      <c r="D85" s="447"/>
      <c r="E85" s="447"/>
      <c r="F85" s="447"/>
      <c r="G85" s="447"/>
      <c r="H85" s="447"/>
      <c r="I85" s="447"/>
      <c r="J85" s="447"/>
      <c r="K85" s="463" t="s">
        <v>304</v>
      </c>
      <c r="L85" s="465"/>
      <c r="M85" s="165" t="s">
        <v>305</v>
      </c>
    </row>
    <row r="86" spans="1:13" ht="15" customHeight="1">
      <c r="A86" s="166">
        <v>1</v>
      </c>
      <c r="B86" s="444" t="s">
        <v>306</v>
      </c>
      <c r="C86" s="444"/>
      <c r="D86" s="444"/>
      <c r="E86" s="444"/>
      <c r="F86" s="444"/>
      <c r="G86" s="444"/>
      <c r="H86" s="444"/>
      <c r="I86" s="444"/>
      <c r="J86" s="444"/>
      <c r="K86" s="447" t="s">
        <v>34</v>
      </c>
      <c r="L86" s="447"/>
      <c r="M86" s="157"/>
    </row>
    <row r="87" spans="1:13" ht="15" customHeight="1">
      <c r="A87" s="166" t="s">
        <v>173</v>
      </c>
      <c r="B87" s="455" t="s">
        <v>307</v>
      </c>
      <c r="C87" s="456"/>
      <c r="D87" s="456"/>
      <c r="E87" s="456"/>
      <c r="F87" s="456"/>
      <c r="G87" s="456"/>
      <c r="H87" s="456"/>
      <c r="I87" s="456"/>
      <c r="J87" s="457"/>
      <c r="K87" s="460">
        <v>9328985</v>
      </c>
      <c r="L87" s="462"/>
      <c r="M87" s="167">
        <f>K87*22%*1.110848*1.082499*1.128487*0.993315</f>
        <v>2766449.6546422946</v>
      </c>
    </row>
    <row r="88" spans="1:13" ht="15" customHeight="1">
      <c r="A88" s="166" t="s">
        <v>176</v>
      </c>
      <c r="B88" s="455" t="s">
        <v>308</v>
      </c>
      <c r="C88" s="456"/>
      <c r="D88" s="456"/>
      <c r="E88" s="456"/>
      <c r="F88" s="456"/>
      <c r="G88" s="456"/>
      <c r="H88" s="456"/>
      <c r="I88" s="456"/>
      <c r="J88" s="457"/>
      <c r="K88" s="460"/>
      <c r="L88" s="462"/>
      <c r="M88" s="167">
        <f>K88*22%</f>
        <v>0</v>
      </c>
    </row>
    <row r="89" spans="1:13" ht="25.5" customHeight="1">
      <c r="A89" s="166" t="s">
        <v>179</v>
      </c>
      <c r="B89" s="448" t="s">
        <v>309</v>
      </c>
      <c r="C89" s="449"/>
      <c r="D89" s="449"/>
      <c r="E89" s="449"/>
      <c r="F89" s="449"/>
      <c r="G89" s="449"/>
      <c r="H89" s="449"/>
      <c r="I89" s="449"/>
      <c r="J89" s="450"/>
      <c r="K89" s="460"/>
      <c r="L89" s="462"/>
      <c r="M89" s="167">
        <f>K89*22%</f>
        <v>0</v>
      </c>
    </row>
    <row r="90" spans="1:13" ht="15" customHeight="1">
      <c r="A90" s="166" t="s">
        <v>10</v>
      </c>
      <c r="B90" s="455" t="s">
        <v>310</v>
      </c>
      <c r="C90" s="456"/>
      <c r="D90" s="456"/>
      <c r="E90" s="456"/>
      <c r="F90" s="456"/>
      <c r="G90" s="456"/>
      <c r="H90" s="456"/>
      <c r="I90" s="456"/>
      <c r="J90" s="457"/>
      <c r="K90" s="460" t="s">
        <v>34</v>
      </c>
      <c r="L90" s="462"/>
      <c r="M90" s="167"/>
    </row>
    <row r="91" spans="1:13" ht="22.5" customHeight="1">
      <c r="A91" s="166" t="s">
        <v>311</v>
      </c>
      <c r="B91" s="448" t="s">
        <v>312</v>
      </c>
      <c r="C91" s="449"/>
      <c r="D91" s="449"/>
      <c r="E91" s="449"/>
      <c r="F91" s="449"/>
      <c r="G91" s="449"/>
      <c r="H91" s="449"/>
      <c r="I91" s="449"/>
      <c r="J91" s="450"/>
      <c r="K91" s="460">
        <f>K87</f>
        <v>9328985</v>
      </c>
      <c r="L91" s="462"/>
      <c r="M91" s="167">
        <f>K91*2.9%*1.110848*1.082499*1.128487*0.993315</f>
        <v>364668.3635664843</v>
      </c>
    </row>
    <row r="92" spans="1:13" ht="15" customHeight="1">
      <c r="A92" s="166" t="s">
        <v>313</v>
      </c>
      <c r="B92" s="455" t="s">
        <v>314</v>
      </c>
      <c r="C92" s="456"/>
      <c r="D92" s="456"/>
      <c r="E92" s="456"/>
      <c r="F92" s="456"/>
      <c r="G92" s="456"/>
      <c r="H92" s="456"/>
      <c r="I92" s="456"/>
      <c r="J92" s="457"/>
      <c r="K92" s="460"/>
      <c r="L92" s="462"/>
      <c r="M92" s="167">
        <f>K92*22%</f>
        <v>0</v>
      </c>
    </row>
    <row r="93" spans="1:13" ht="24.75" customHeight="1">
      <c r="A93" s="166" t="s">
        <v>315</v>
      </c>
      <c r="B93" s="448" t="s">
        <v>316</v>
      </c>
      <c r="C93" s="449"/>
      <c r="D93" s="449"/>
      <c r="E93" s="449"/>
      <c r="F93" s="449"/>
      <c r="G93" s="449"/>
      <c r="H93" s="449"/>
      <c r="I93" s="449"/>
      <c r="J93" s="450"/>
      <c r="K93" s="460">
        <f>K87</f>
        <v>9328985</v>
      </c>
      <c r="L93" s="462"/>
      <c r="M93" s="167">
        <f>K93*0.2%*1.110848*1.082499*1.128487*0.993315</f>
        <v>25149.54231492995</v>
      </c>
    </row>
    <row r="94" spans="1:13" ht="15" customHeight="1">
      <c r="A94" s="166" t="s">
        <v>11</v>
      </c>
      <c r="B94" s="459" t="s">
        <v>317</v>
      </c>
      <c r="C94" s="459"/>
      <c r="D94" s="459"/>
      <c r="E94" s="459"/>
      <c r="F94" s="459"/>
      <c r="G94" s="459"/>
      <c r="H94" s="459"/>
      <c r="I94" s="459"/>
      <c r="J94" s="459"/>
      <c r="K94" s="460">
        <f>K87</f>
        <v>9328985</v>
      </c>
      <c r="L94" s="462"/>
      <c r="M94" s="167">
        <f>K94*5.1%*1.110848*1.082499*1.128487*0.993315-0.19</f>
        <v>641313.1390307138</v>
      </c>
    </row>
    <row r="95" spans="1:15" ht="15" customHeight="1">
      <c r="A95" s="166"/>
      <c r="B95" s="459" t="s">
        <v>318</v>
      </c>
      <c r="C95" s="459"/>
      <c r="D95" s="459"/>
      <c r="E95" s="459"/>
      <c r="F95" s="459"/>
      <c r="G95" s="459"/>
      <c r="H95" s="459"/>
      <c r="I95" s="459"/>
      <c r="J95" s="459"/>
      <c r="K95" s="458" t="s">
        <v>34</v>
      </c>
      <c r="L95" s="458"/>
      <c r="M95" s="168">
        <f>SUM(M87:M94)</f>
        <v>3797580.699554423</v>
      </c>
      <c r="N95" s="141">
        <f>2817355+312297.7+258191+435295-25558</f>
        <v>3797580.7</v>
      </c>
      <c r="O95" s="188">
        <f>N95/M95</f>
        <v>1.000000000117332</v>
      </c>
    </row>
    <row r="96" spans="1:13" ht="15" customHeight="1">
      <c r="A96" s="146"/>
      <c r="B96" s="146"/>
      <c r="C96" s="146"/>
      <c r="D96" s="146"/>
      <c r="E96" s="146"/>
      <c r="F96" s="146"/>
      <c r="G96" s="146"/>
      <c r="H96" s="146"/>
      <c r="I96" s="146"/>
      <c r="J96" s="146"/>
      <c r="K96" s="146"/>
      <c r="L96" s="146"/>
      <c r="M96" s="146"/>
    </row>
    <row r="97" spans="1:13" ht="15" customHeight="1">
      <c r="A97" s="146"/>
      <c r="B97" s="146"/>
      <c r="C97" s="146" t="s">
        <v>319</v>
      </c>
      <c r="D97" s="146"/>
      <c r="E97" s="146"/>
      <c r="F97" s="146"/>
      <c r="G97" s="146"/>
      <c r="H97" s="146"/>
      <c r="I97" s="146"/>
      <c r="J97" s="146"/>
      <c r="K97" s="146"/>
      <c r="L97" s="146"/>
      <c r="M97" s="146"/>
    </row>
    <row r="98" spans="1:13" ht="15" customHeight="1">
      <c r="A98" s="146" t="s">
        <v>373</v>
      </c>
      <c r="B98" s="146"/>
      <c r="C98" s="146"/>
      <c r="D98" s="146"/>
      <c r="E98" s="146"/>
      <c r="F98" s="146"/>
      <c r="G98" s="146"/>
      <c r="H98" s="146"/>
      <c r="I98" s="146"/>
      <c r="J98" s="146"/>
      <c r="K98" s="146"/>
      <c r="L98" s="146"/>
      <c r="M98" s="146"/>
    </row>
    <row r="99" spans="1:13" ht="15" customHeight="1">
      <c r="A99" s="146" t="s">
        <v>320</v>
      </c>
      <c r="B99" s="146"/>
      <c r="C99" s="146"/>
      <c r="D99" s="146"/>
      <c r="E99" s="146"/>
      <c r="F99" s="146"/>
      <c r="G99" s="146"/>
      <c r="H99" s="146"/>
      <c r="I99" s="146"/>
      <c r="J99" s="146"/>
      <c r="K99" s="146"/>
      <c r="L99" s="146"/>
      <c r="M99" s="146"/>
    </row>
    <row r="100" spans="1:13" ht="15" customHeight="1">
      <c r="A100" s="157" t="s">
        <v>279</v>
      </c>
      <c r="B100" s="459" t="s">
        <v>299</v>
      </c>
      <c r="C100" s="459"/>
      <c r="D100" s="459"/>
      <c r="E100" s="459"/>
      <c r="F100" s="459" t="s">
        <v>321</v>
      </c>
      <c r="G100" s="459"/>
      <c r="H100" s="459" t="s">
        <v>322</v>
      </c>
      <c r="I100" s="459"/>
      <c r="J100" s="463" t="s">
        <v>323</v>
      </c>
      <c r="K100" s="464"/>
      <c r="L100" s="465"/>
      <c r="M100" s="146"/>
    </row>
    <row r="101" spans="1:13" ht="15" customHeight="1">
      <c r="A101" s="157"/>
      <c r="B101" s="444" t="s">
        <v>324</v>
      </c>
      <c r="C101" s="444"/>
      <c r="D101" s="444"/>
      <c r="E101" s="444"/>
      <c r="F101" s="447">
        <v>104</v>
      </c>
      <c r="G101" s="447"/>
      <c r="H101" s="458">
        <v>4</v>
      </c>
      <c r="I101" s="458"/>
      <c r="J101" s="460">
        <v>0</v>
      </c>
      <c r="K101" s="475"/>
      <c r="L101" s="462"/>
      <c r="M101" s="146"/>
    </row>
    <row r="102" spans="1:13" ht="15" customHeight="1">
      <c r="A102" s="157"/>
      <c r="B102" s="447" t="s">
        <v>298</v>
      </c>
      <c r="C102" s="447"/>
      <c r="D102" s="447"/>
      <c r="E102" s="447"/>
      <c r="F102" s="447" t="s">
        <v>34</v>
      </c>
      <c r="G102" s="447"/>
      <c r="H102" s="458" t="s">
        <v>34</v>
      </c>
      <c r="I102" s="458"/>
      <c r="J102" s="458">
        <f>J101</f>
        <v>0</v>
      </c>
      <c r="K102" s="458"/>
      <c r="L102" s="458"/>
      <c r="M102" s="146"/>
    </row>
    <row r="103" spans="1:13" ht="14.25" customHeight="1">
      <c r="A103" s="169"/>
      <c r="B103" s="159"/>
      <c r="C103" s="159"/>
      <c r="D103" s="159"/>
      <c r="E103" s="159"/>
      <c r="F103" s="159"/>
      <c r="G103" s="159"/>
      <c r="H103" s="159"/>
      <c r="I103" s="159"/>
      <c r="J103" s="159"/>
      <c r="K103" s="159"/>
      <c r="L103" s="159"/>
      <c r="M103" s="146"/>
    </row>
    <row r="104" spans="1:13" ht="15" customHeight="1">
      <c r="A104" s="146" t="s">
        <v>374</v>
      </c>
      <c r="B104" s="146"/>
      <c r="C104" s="146"/>
      <c r="D104" s="146"/>
      <c r="E104" s="146"/>
      <c r="F104" s="146"/>
      <c r="G104" s="146"/>
      <c r="H104" s="146"/>
      <c r="I104" s="146"/>
      <c r="J104" s="146"/>
      <c r="K104" s="146"/>
      <c r="L104" s="146"/>
      <c r="M104" s="146"/>
    </row>
    <row r="105" spans="1:13" ht="15" customHeight="1">
      <c r="A105" s="146" t="s">
        <v>320</v>
      </c>
      <c r="B105" s="146"/>
      <c r="C105" s="146"/>
      <c r="D105" s="146"/>
      <c r="E105" s="146"/>
      <c r="F105" s="146"/>
      <c r="G105" s="146"/>
      <c r="H105" s="146"/>
      <c r="I105" s="146"/>
      <c r="J105" s="146"/>
      <c r="K105" s="146"/>
      <c r="L105" s="146"/>
      <c r="M105" s="146"/>
    </row>
    <row r="106" spans="1:13" ht="15" customHeight="1">
      <c r="A106" s="157" t="s">
        <v>279</v>
      </c>
      <c r="B106" s="459" t="s">
        <v>299</v>
      </c>
      <c r="C106" s="459"/>
      <c r="D106" s="459"/>
      <c r="E106" s="459"/>
      <c r="F106" s="459" t="s">
        <v>375</v>
      </c>
      <c r="G106" s="459"/>
      <c r="H106" s="459" t="s">
        <v>376</v>
      </c>
      <c r="I106" s="459"/>
      <c r="J106" s="463" t="s">
        <v>323</v>
      </c>
      <c r="K106" s="464"/>
      <c r="L106" s="465"/>
      <c r="M106" s="146"/>
    </row>
    <row r="107" spans="1:13" ht="15" customHeight="1">
      <c r="A107" s="157"/>
      <c r="B107" s="455" t="s">
        <v>325</v>
      </c>
      <c r="C107" s="456"/>
      <c r="D107" s="456"/>
      <c r="E107" s="457"/>
      <c r="F107" s="458">
        <f>2952311.2*1.5</f>
        <v>4428466.800000001</v>
      </c>
      <c r="G107" s="458"/>
      <c r="H107" s="458">
        <v>0.01</v>
      </c>
      <c r="I107" s="458"/>
      <c r="J107" s="460">
        <f>44285+7000+18722</f>
        <v>70007</v>
      </c>
      <c r="K107" s="475"/>
      <c r="L107" s="462"/>
      <c r="M107" s="146"/>
    </row>
    <row r="108" spans="1:13" ht="15" customHeight="1">
      <c r="A108" s="157"/>
      <c r="B108" s="447" t="s">
        <v>298</v>
      </c>
      <c r="C108" s="447"/>
      <c r="D108" s="447"/>
      <c r="E108" s="447"/>
      <c r="F108" s="447" t="s">
        <v>34</v>
      </c>
      <c r="G108" s="447"/>
      <c r="H108" s="458" t="s">
        <v>34</v>
      </c>
      <c r="I108" s="458"/>
      <c r="J108" s="458">
        <f>J107</f>
        <v>70007</v>
      </c>
      <c r="K108" s="458"/>
      <c r="L108" s="458"/>
      <c r="M108" s="146"/>
    </row>
    <row r="109" spans="1:13" ht="15" customHeight="1">
      <c r="A109" s="169"/>
      <c r="B109" s="159"/>
      <c r="C109" s="159"/>
      <c r="D109" s="159"/>
      <c r="E109" s="159"/>
      <c r="F109" s="159"/>
      <c r="G109" s="159"/>
      <c r="H109" s="160"/>
      <c r="I109" s="160"/>
      <c r="J109" s="160"/>
      <c r="K109" s="160"/>
      <c r="L109" s="160"/>
      <c r="M109" s="146"/>
    </row>
    <row r="110" spans="1:13" ht="15" customHeight="1">
      <c r="A110" s="146"/>
      <c r="B110" s="146"/>
      <c r="C110" s="146" t="s">
        <v>326</v>
      </c>
      <c r="D110" s="146"/>
      <c r="E110" s="146"/>
      <c r="F110" s="146"/>
      <c r="G110" s="146"/>
      <c r="H110" s="146"/>
      <c r="I110" s="146"/>
      <c r="J110" s="146"/>
      <c r="K110" s="146"/>
      <c r="L110" s="146"/>
      <c r="M110" s="146"/>
    </row>
    <row r="111" spans="1:13" ht="15" customHeight="1">
      <c r="A111" s="146" t="s">
        <v>480</v>
      </c>
      <c r="B111" s="146"/>
      <c r="C111" s="146"/>
      <c r="D111" s="146"/>
      <c r="E111" s="146"/>
      <c r="F111" s="146"/>
      <c r="G111" s="146"/>
      <c r="H111" s="146"/>
      <c r="I111" s="146"/>
      <c r="J111" s="146"/>
      <c r="K111" s="146"/>
      <c r="L111" s="146"/>
      <c r="M111" s="146"/>
    </row>
    <row r="112" spans="1:13" ht="15" customHeight="1">
      <c r="A112" s="146"/>
      <c r="B112" s="146"/>
      <c r="C112" s="146"/>
      <c r="D112" s="146"/>
      <c r="E112" s="146"/>
      <c r="F112" s="146"/>
      <c r="G112" s="146"/>
      <c r="H112" s="146"/>
      <c r="I112" s="146"/>
      <c r="J112" s="146"/>
      <c r="K112" s="146"/>
      <c r="L112" s="146"/>
      <c r="M112" s="146"/>
    </row>
    <row r="113" spans="1:13" ht="15" customHeight="1">
      <c r="A113" s="146"/>
      <c r="B113" s="146"/>
      <c r="C113" s="146" t="s">
        <v>377</v>
      </c>
      <c r="D113" s="146"/>
      <c r="E113" s="146"/>
      <c r="F113" s="146"/>
      <c r="G113" s="146"/>
      <c r="H113" s="146"/>
      <c r="I113" s="146"/>
      <c r="J113" s="146"/>
      <c r="K113" s="146"/>
      <c r="L113" s="146"/>
      <c r="M113" s="146"/>
    </row>
    <row r="114" spans="1:13" ht="15" customHeight="1">
      <c r="A114" s="146" t="s">
        <v>320</v>
      </c>
      <c r="B114" s="146"/>
      <c r="C114" s="146"/>
      <c r="D114" s="146"/>
      <c r="E114" s="146"/>
      <c r="F114" s="146"/>
      <c r="G114" s="146"/>
      <c r="H114" s="146"/>
      <c r="I114" s="146"/>
      <c r="J114" s="146"/>
      <c r="K114" s="146"/>
      <c r="L114" s="146"/>
      <c r="M114" s="146"/>
    </row>
    <row r="115" spans="1:14" ht="33.75" customHeight="1">
      <c r="A115" s="157" t="s">
        <v>279</v>
      </c>
      <c r="B115" s="447" t="s">
        <v>299</v>
      </c>
      <c r="C115" s="447"/>
      <c r="D115" s="447"/>
      <c r="E115" s="447"/>
      <c r="F115" s="447"/>
      <c r="G115" s="165" t="s">
        <v>327</v>
      </c>
      <c r="H115" s="463" t="s">
        <v>328</v>
      </c>
      <c r="I115" s="465"/>
      <c r="J115" s="463" t="s">
        <v>329</v>
      </c>
      <c r="K115" s="465"/>
      <c r="L115" s="463" t="s">
        <v>330</v>
      </c>
      <c r="M115" s="464"/>
      <c r="N115" s="170"/>
    </row>
    <row r="116" spans="1:14" ht="15" customHeight="1">
      <c r="A116" s="157"/>
      <c r="B116" s="444" t="s">
        <v>331</v>
      </c>
      <c r="C116" s="444"/>
      <c r="D116" s="444"/>
      <c r="E116" s="444"/>
      <c r="F116" s="444"/>
      <c r="G116" s="157">
        <v>1</v>
      </c>
      <c r="H116" s="447">
        <v>7</v>
      </c>
      <c r="I116" s="447"/>
      <c r="J116" s="458">
        <v>1259.66</v>
      </c>
      <c r="K116" s="458"/>
      <c r="L116" s="458">
        <f>8500+3234+2156</f>
        <v>13890</v>
      </c>
      <c r="M116" s="460"/>
      <c r="N116" s="171">
        <v>8499.65</v>
      </c>
    </row>
    <row r="117" spans="1:14" ht="15" customHeight="1">
      <c r="A117" s="157"/>
      <c r="B117" s="444" t="s">
        <v>398</v>
      </c>
      <c r="C117" s="444"/>
      <c r="D117" s="444"/>
      <c r="E117" s="444"/>
      <c r="F117" s="444"/>
      <c r="G117" s="157">
        <v>1</v>
      </c>
      <c r="H117" s="447">
        <v>2</v>
      </c>
      <c r="I117" s="447"/>
      <c r="J117" s="458">
        <v>3900</v>
      </c>
      <c r="K117" s="458"/>
      <c r="L117" s="458">
        <f>7800+3900+3900</f>
        <v>15600</v>
      </c>
      <c r="M117" s="460"/>
      <c r="N117" s="170">
        <v>7800</v>
      </c>
    </row>
    <row r="118" spans="1:13" ht="15" customHeight="1">
      <c r="A118" s="157"/>
      <c r="B118" s="447" t="s">
        <v>300</v>
      </c>
      <c r="C118" s="447"/>
      <c r="D118" s="447"/>
      <c r="E118" s="447"/>
      <c r="F118" s="447"/>
      <c r="G118" s="206" t="s">
        <v>34</v>
      </c>
      <c r="H118" s="447" t="s">
        <v>34</v>
      </c>
      <c r="I118" s="447"/>
      <c r="J118" s="458" t="s">
        <v>34</v>
      </c>
      <c r="K118" s="458"/>
      <c r="L118" s="458">
        <f>L116+L117</f>
        <v>29490</v>
      </c>
      <c r="M118" s="460"/>
    </row>
    <row r="119" spans="1:13" ht="15" customHeight="1">
      <c r="A119" s="146"/>
      <c r="B119" s="146"/>
      <c r="C119" s="146"/>
      <c r="D119" s="146"/>
      <c r="E119" s="146"/>
      <c r="F119" s="146"/>
      <c r="G119" s="146"/>
      <c r="H119" s="146"/>
      <c r="I119" s="146"/>
      <c r="J119" s="146"/>
      <c r="K119" s="146"/>
      <c r="L119" s="146"/>
      <c r="M119" s="146"/>
    </row>
    <row r="120" spans="1:13" ht="15" customHeight="1">
      <c r="A120" s="146"/>
      <c r="B120" s="146"/>
      <c r="C120" s="146" t="s">
        <v>378</v>
      </c>
      <c r="D120" s="146"/>
      <c r="E120" s="146"/>
      <c r="F120" s="146"/>
      <c r="G120" s="146"/>
      <c r="H120" s="146"/>
      <c r="I120" s="146"/>
      <c r="J120" s="146"/>
      <c r="K120" s="146"/>
      <c r="L120" s="146"/>
      <c r="M120" s="146"/>
    </row>
    <row r="121" spans="1:13" ht="15" customHeight="1">
      <c r="A121" s="146" t="s">
        <v>320</v>
      </c>
      <c r="B121" s="146"/>
      <c r="C121" s="146"/>
      <c r="D121" s="146"/>
      <c r="E121" s="146"/>
      <c r="F121" s="146"/>
      <c r="G121" s="146"/>
      <c r="H121" s="146"/>
      <c r="I121" s="146"/>
      <c r="J121" s="146"/>
      <c r="K121" s="146"/>
      <c r="L121" s="146"/>
      <c r="M121" s="146"/>
    </row>
    <row r="122" spans="1:13" ht="24" customHeight="1">
      <c r="A122" s="157" t="s">
        <v>279</v>
      </c>
      <c r="B122" s="447" t="s">
        <v>0</v>
      </c>
      <c r="C122" s="447"/>
      <c r="D122" s="447"/>
      <c r="E122" s="447"/>
      <c r="F122" s="459" t="s">
        <v>379</v>
      </c>
      <c r="G122" s="459"/>
      <c r="H122" s="459" t="s">
        <v>332</v>
      </c>
      <c r="I122" s="459"/>
      <c r="J122" s="447" t="s">
        <v>333</v>
      </c>
      <c r="K122" s="447"/>
      <c r="L122" s="459" t="s">
        <v>334</v>
      </c>
      <c r="M122" s="459"/>
    </row>
    <row r="123" spans="1:15" ht="15" customHeight="1">
      <c r="A123" s="157"/>
      <c r="B123" s="444" t="s">
        <v>380</v>
      </c>
      <c r="C123" s="444"/>
      <c r="D123" s="444"/>
      <c r="E123" s="444"/>
      <c r="F123" s="458">
        <f>L123/H123</f>
        <v>71057.66153846154</v>
      </c>
      <c r="G123" s="458"/>
      <c r="H123" s="458">
        <v>5.2</v>
      </c>
      <c r="I123" s="458"/>
      <c r="J123" s="458"/>
      <c r="K123" s="458"/>
      <c r="L123" s="460">
        <f>282937+34425.76-11986.92+45000+45000+68000-93876</f>
        <v>369499.84</v>
      </c>
      <c r="M123" s="461"/>
      <c r="N123" s="172">
        <v>270376</v>
      </c>
      <c r="O123" s="172">
        <v>34999.84</v>
      </c>
    </row>
    <row r="124" spans="1:16" ht="15" customHeight="1">
      <c r="A124" s="157"/>
      <c r="B124" s="444" t="s">
        <v>381</v>
      </c>
      <c r="C124" s="444"/>
      <c r="D124" s="444"/>
      <c r="E124" s="444"/>
      <c r="F124" s="458">
        <f>L124/H124</f>
        <v>592.926965239655</v>
      </c>
      <c r="G124" s="458"/>
      <c r="H124" s="458">
        <v>1761.49</v>
      </c>
      <c r="I124" s="458"/>
      <c r="J124" s="458"/>
      <c r="K124" s="458"/>
      <c r="L124" s="460">
        <f>908145+11986.92-95000-15000+82427+58000+93876</f>
        <v>1044434.92</v>
      </c>
      <c r="M124" s="461"/>
      <c r="N124" s="172">
        <v>746378.55</v>
      </c>
      <c r="O124" s="172">
        <v>152175.12</v>
      </c>
      <c r="P124" s="22" t="s">
        <v>511</v>
      </c>
    </row>
    <row r="125" spans="1:13" ht="15" customHeight="1">
      <c r="A125" s="157"/>
      <c r="B125" s="447" t="s">
        <v>300</v>
      </c>
      <c r="C125" s="447"/>
      <c r="D125" s="447"/>
      <c r="E125" s="447"/>
      <c r="F125" s="458" t="s">
        <v>34</v>
      </c>
      <c r="G125" s="458"/>
      <c r="H125" s="458" t="s">
        <v>34</v>
      </c>
      <c r="I125" s="458"/>
      <c r="J125" s="458" t="s">
        <v>34</v>
      </c>
      <c r="K125" s="458"/>
      <c r="L125" s="458">
        <f>SUM(L123:M124)</f>
        <v>1413934.76</v>
      </c>
      <c r="M125" s="458"/>
    </row>
    <row r="126" spans="1:13" ht="15" customHeight="1">
      <c r="A126" s="146"/>
      <c r="B126" s="146"/>
      <c r="C126" s="146"/>
      <c r="D126" s="146"/>
      <c r="E126" s="146"/>
      <c r="F126" s="146"/>
      <c r="G126" s="146"/>
      <c r="H126" s="146"/>
      <c r="I126" s="146"/>
      <c r="J126" s="146"/>
      <c r="K126" s="146"/>
      <c r="L126" s="146"/>
      <c r="M126" s="146"/>
    </row>
    <row r="127" spans="1:13" ht="15" customHeight="1">
      <c r="A127" s="146"/>
      <c r="B127" s="146"/>
      <c r="C127" s="146" t="s">
        <v>378</v>
      </c>
      <c r="D127" s="146"/>
      <c r="E127" s="146"/>
      <c r="F127" s="146"/>
      <c r="G127" s="146"/>
      <c r="H127" s="146"/>
      <c r="I127" s="146"/>
      <c r="J127" s="146"/>
      <c r="K127" s="146"/>
      <c r="L127" s="146"/>
      <c r="M127" s="146"/>
    </row>
    <row r="128" spans="1:13" ht="15" customHeight="1">
      <c r="A128" s="146" t="s">
        <v>320</v>
      </c>
      <c r="B128" s="146"/>
      <c r="C128" s="146"/>
      <c r="D128" s="146"/>
      <c r="E128" s="146"/>
      <c r="F128" s="146"/>
      <c r="G128" s="146"/>
      <c r="H128" s="146"/>
      <c r="I128" s="146"/>
      <c r="J128" s="146"/>
      <c r="K128" s="146"/>
      <c r="L128" s="146"/>
      <c r="M128" s="146"/>
    </row>
    <row r="129" spans="1:13" ht="24" customHeight="1">
      <c r="A129" s="157" t="s">
        <v>279</v>
      </c>
      <c r="B129" s="447" t="s">
        <v>0</v>
      </c>
      <c r="C129" s="447"/>
      <c r="D129" s="447"/>
      <c r="E129" s="447"/>
      <c r="F129" s="459" t="s">
        <v>379</v>
      </c>
      <c r="G129" s="459"/>
      <c r="H129" s="459" t="s">
        <v>332</v>
      </c>
      <c r="I129" s="459"/>
      <c r="J129" s="447" t="s">
        <v>333</v>
      </c>
      <c r="K129" s="447"/>
      <c r="L129" s="459" t="s">
        <v>334</v>
      </c>
      <c r="M129" s="459"/>
    </row>
    <row r="130" spans="1:16" ht="15" customHeight="1">
      <c r="A130" s="157"/>
      <c r="B130" s="444" t="s">
        <v>382</v>
      </c>
      <c r="C130" s="444"/>
      <c r="D130" s="444"/>
      <c r="E130" s="444"/>
      <c r="F130" s="458">
        <f>L130/H130</f>
        <v>1454.6793032786886</v>
      </c>
      <c r="G130" s="458"/>
      <c r="H130" s="458">
        <v>29.28</v>
      </c>
      <c r="I130" s="458"/>
      <c r="J130" s="458"/>
      <c r="K130" s="458"/>
      <c r="L130" s="460">
        <f>44030-1436.99</f>
        <v>42593.01</v>
      </c>
      <c r="M130" s="461"/>
      <c r="N130" s="173">
        <v>31655.57</v>
      </c>
      <c r="O130" s="172">
        <v>2120.77</v>
      </c>
      <c r="P130" s="22">
        <v>10253.66</v>
      </c>
    </row>
    <row r="131" spans="1:15" ht="15" customHeight="1">
      <c r="A131" s="157"/>
      <c r="B131" s="455" t="s">
        <v>383</v>
      </c>
      <c r="C131" s="456"/>
      <c r="D131" s="456"/>
      <c r="E131" s="457"/>
      <c r="F131" s="458">
        <f>L131/H131</f>
        <v>114.09371841155235</v>
      </c>
      <c r="G131" s="458"/>
      <c r="H131" s="458">
        <v>69.25</v>
      </c>
      <c r="I131" s="458"/>
      <c r="J131" s="458"/>
      <c r="K131" s="458"/>
      <c r="L131" s="460">
        <f>6464+1436.99</f>
        <v>7900.99</v>
      </c>
      <c r="M131" s="461"/>
      <c r="N131" s="173">
        <f>5800-4518.39</f>
        <v>1281.6099999999997</v>
      </c>
      <c r="O131" s="189">
        <v>613.18</v>
      </c>
    </row>
    <row r="132" spans="1:16" ht="15" customHeight="1">
      <c r="A132" s="157"/>
      <c r="B132" s="455" t="s">
        <v>384</v>
      </c>
      <c r="C132" s="456"/>
      <c r="D132" s="456"/>
      <c r="E132" s="457"/>
      <c r="F132" s="460">
        <f>L132/H132</f>
        <v>5.4163643198727085</v>
      </c>
      <c r="G132" s="462"/>
      <c r="H132" s="460">
        <v>5719.15</v>
      </c>
      <c r="I132" s="462"/>
      <c r="J132" s="460"/>
      <c r="K132" s="462"/>
      <c r="L132" s="460">
        <f>18174+12803</f>
        <v>30977</v>
      </c>
      <c r="M132" s="462"/>
      <c r="N132" s="172">
        <v>15061.2</v>
      </c>
      <c r="O132" s="172">
        <v>2510.2</v>
      </c>
      <c r="P132" s="22">
        <v>302.6</v>
      </c>
    </row>
    <row r="133" spans="1:15" ht="15" customHeight="1">
      <c r="A133" s="157"/>
      <c r="B133" s="444" t="s">
        <v>506</v>
      </c>
      <c r="C133" s="444"/>
      <c r="D133" s="444"/>
      <c r="E133" s="444"/>
      <c r="F133" s="458">
        <f>L133/H133</f>
        <v>203.65372497147303</v>
      </c>
      <c r="G133" s="458"/>
      <c r="H133" s="458">
        <v>1761.49</v>
      </c>
      <c r="I133" s="458"/>
      <c r="J133" s="458"/>
      <c r="K133" s="458"/>
      <c r="L133" s="460">
        <f>95000+15000+182734+66000</f>
        <v>358734</v>
      </c>
      <c r="M133" s="461"/>
      <c r="N133" s="173"/>
      <c r="O133" s="172">
        <v>55064.18</v>
      </c>
    </row>
    <row r="134" spans="1:13" ht="15" customHeight="1">
      <c r="A134" s="157"/>
      <c r="B134" s="447" t="s">
        <v>300</v>
      </c>
      <c r="C134" s="447"/>
      <c r="D134" s="447"/>
      <c r="E134" s="447"/>
      <c r="F134" s="458" t="s">
        <v>34</v>
      </c>
      <c r="G134" s="458"/>
      <c r="H134" s="458" t="s">
        <v>34</v>
      </c>
      <c r="I134" s="458"/>
      <c r="J134" s="458" t="s">
        <v>34</v>
      </c>
      <c r="K134" s="458"/>
      <c r="L134" s="458">
        <f>SUM(L130:M133)</f>
        <v>440205</v>
      </c>
      <c r="M134" s="458"/>
    </row>
    <row r="135" spans="1:13" ht="15" customHeight="1">
      <c r="A135" s="146"/>
      <c r="B135" s="146"/>
      <c r="C135" s="146"/>
      <c r="D135" s="146"/>
      <c r="E135" s="146"/>
      <c r="F135" s="146"/>
      <c r="G135" s="146"/>
      <c r="H135" s="146"/>
      <c r="I135" s="146"/>
      <c r="J135" s="146"/>
      <c r="K135" s="146"/>
      <c r="L135" s="146"/>
      <c r="M135" s="146"/>
    </row>
    <row r="136" spans="1:13" ht="15" customHeight="1">
      <c r="A136" s="146"/>
      <c r="B136" s="146"/>
      <c r="C136" s="146" t="s">
        <v>385</v>
      </c>
      <c r="D136" s="146"/>
      <c r="E136" s="146"/>
      <c r="F136" s="146"/>
      <c r="G136" s="146"/>
      <c r="H136" s="146"/>
      <c r="I136" s="146"/>
      <c r="J136" s="146"/>
      <c r="K136" s="146"/>
      <c r="L136" s="146"/>
      <c r="M136" s="146"/>
    </row>
    <row r="137" spans="1:13" ht="15" customHeight="1">
      <c r="A137" s="146" t="s">
        <v>320</v>
      </c>
      <c r="B137" s="146"/>
      <c r="C137" s="146"/>
      <c r="D137" s="146"/>
      <c r="E137" s="146"/>
      <c r="F137" s="146"/>
      <c r="G137" s="146"/>
      <c r="H137" s="146"/>
      <c r="I137" s="146"/>
      <c r="J137" s="146"/>
      <c r="K137" s="146"/>
      <c r="L137" s="146"/>
      <c r="M137" s="146"/>
    </row>
    <row r="138" spans="1:13" ht="23.25" customHeight="1">
      <c r="A138" s="157" t="s">
        <v>279</v>
      </c>
      <c r="B138" s="447" t="s">
        <v>299</v>
      </c>
      <c r="C138" s="447"/>
      <c r="D138" s="447"/>
      <c r="E138" s="447"/>
      <c r="F138" s="447"/>
      <c r="G138" s="447" t="s">
        <v>386</v>
      </c>
      <c r="H138" s="447"/>
      <c r="I138" s="459" t="s">
        <v>335</v>
      </c>
      <c r="J138" s="459"/>
      <c r="K138" s="459" t="s">
        <v>336</v>
      </c>
      <c r="L138" s="459"/>
      <c r="M138" s="146"/>
    </row>
    <row r="139" spans="1:14" ht="15" customHeight="1">
      <c r="A139" s="157"/>
      <c r="B139" s="444" t="s">
        <v>337</v>
      </c>
      <c r="C139" s="444"/>
      <c r="D139" s="444"/>
      <c r="E139" s="444"/>
      <c r="F139" s="444"/>
      <c r="G139" s="447">
        <f>K139/I139</f>
        <v>400</v>
      </c>
      <c r="H139" s="447"/>
      <c r="I139" s="458">
        <v>9</v>
      </c>
      <c r="J139" s="458"/>
      <c r="K139" s="458">
        <f>1800+900+900</f>
        <v>3600</v>
      </c>
      <c r="L139" s="458"/>
      <c r="N139" s="146">
        <v>1800</v>
      </c>
    </row>
    <row r="140" spans="1:14" ht="15" customHeight="1">
      <c r="A140" s="157"/>
      <c r="B140" s="444" t="s">
        <v>338</v>
      </c>
      <c r="C140" s="444"/>
      <c r="D140" s="444"/>
      <c r="E140" s="444"/>
      <c r="F140" s="444"/>
      <c r="G140" s="447">
        <v>2968</v>
      </c>
      <c r="H140" s="447"/>
      <c r="I140" s="458">
        <v>1</v>
      </c>
      <c r="J140" s="458"/>
      <c r="K140" s="458">
        <v>3500</v>
      </c>
      <c r="L140" s="458"/>
      <c r="N140" s="146">
        <v>3500</v>
      </c>
    </row>
    <row r="141" spans="1:14" ht="15" customHeight="1">
      <c r="A141" s="157"/>
      <c r="B141" s="444" t="s">
        <v>387</v>
      </c>
      <c r="C141" s="444"/>
      <c r="D141" s="444"/>
      <c r="E141" s="444"/>
      <c r="F141" s="444"/>
      <c r="G141" s="445">
        <f>K141/I141</f>
        <v>500</v>
      </c>
      <c r="H141" s="445"/>
      <c r="I141" s="458">
        <v>9</v>
      </c>
      <c r="J141" s="458"/>
      <c r="K141" s="458">
        <f>3000+1500</f>
        <v>4500</v>
      </c>
      <c r="L141" s="458"/>
      <c r="N141" s="146"/>
    </row>
    <row r="142" spans="1:12" ht="15" customHeight="1">
      <c r="A142" s="157"/>
      <c r="B142" s="444" t="s">
        <v>515</v>
      </c>
      <c r="C142" s="444"/>
      <c r="D142" s="444"/>
      <c r="E142" s="444"/>
      <c r="F142" s="444"/>
      <c r="G142" s="447">
        <f>K142/I142</f>
        <v>7748</v>
      </c>
      <c r="H142" s="447"/>
      <c r="I142" s="458">
        <v>1</v>
      </c>
      <c r="J142" s="458"/>
      <c r="K142" s="458">
        <f>5000+2748</f>
        <v>7748</v>
      </c>
      <c r="L142" s="458"/>
    </row>
    <row r="143" spans="1:12" ht="15" customHeight="1">
      <c r="A143" s="157"/>
      <c r="B143" s="444" t="s">
        <v>509</v>
      </c>
      <c r="C143" s="444"/>
      <c r="D143" s="444"/>
      <c r="E143" s="444"/>
      <c r="F143" s="444"/>
      <c r="G143" s="447">
        <f>K143/I143</f>
        <v>1285</v>
      </c>
      <c r="H143" s="447"/>
      <c r="I143" s="458">
        <v>1</v>
      </c>
      <c r="J143" s="458"/>
      <c r="K143" s="458">
        <v>1285</v>
      </c>
      <c r="L143" s="458"/>
    </row>
    <row r="144" spans="1:15" ht="15" customHeight="1">
      <c r="A144" s="157"/>
      <c r="B144" s="444" t="s">
        <v>529</v>
      </c>
      <c r="C144" s="444"/>
      <c r="D144" s="444"/>
      <c r="E144" s="444"/>
      <c r="F144" s="444"/>
      <c r="G144" s="445">
        <f>K144/I144</f>
        <v>800</v>
      </c>
      <c r="H144" s="445"/>
      <c r="I144" s="458">
        <v>6</v>
      </c>
      <c r="J144" s="458"/>
      <c r="K144" s="460">
        <v>4800</v>
      </c>
      <c r="L144" s="462"/>
      <c r="M144" s="146"/>
      <c r="N144" s="191"/>
      <c r="O144" s="22"/>
    </row>
    <row r="145" spans="1:12" ht="22.5" customHeight="1">
      <c r="A145" s="157"/>
      <c r="B145" s="448" t="s">
        <v>390</v>
      </c>
      <c r="C145" s="449"/>
      <c r="D145" s="449"/>
      <c r="E145" s="449"/>
      <c r="F145" s="450"/>
      <c r="G145" s="447">
        <v>1500</v>
      </c>
      <c r="H145" s="447"/>
      <c r="I145" s="446">
        <f>K145/G145</f>
        <v>1</v>
      </c>
      <c r="J145" s="446"/>
      <c r="K145" s="446">
        <v>1500</v>
      </c>
      <c r="L145" s="446"/>
    </row>
    <row r="146" spans="1:12" ht="22.5" customHeight="1">
      <c r="A146" s="157"/>
      <c r="B146" s="444" t="s">
        <v>550</v>
      </c>
      <c r="C146" s="444"/>
      <c r="D146" s="444"/>
      <c r="E146" s="444"/>
      <c r="F146" s="444"/>
      <c r="G146" s="445">
        <f>K146/I146</f>
        <v>1210</v>
      </c>
      <c r="H146" s="445"/>
      <c r="I146" s="446">
        <v>1</v>
      </c>
      <c r="J146" s="446"/>
      <c r="K146" s="446">
        <v>1210</v>
      </c>
      <c r="L146" s="446"/>
    </row>
    <row r="147" spans="1:12" ht="15" customHeight="1">
      <c r="A147" s="157"/>
      <c r="B147" s="447" t="s">
        <v>300</v>
      </c>
      <c r="C147" s="447"/>
      <c r="D147" s="447"/>
      <c r="E147" s="447"/>
      <c r="F147" s="447"/>
      <c r="G147" s="447" t="s">
        <v>34</v>
      </c>
      <c r="H147" s="447"/>
      <c r="I147" s="458" t="s">
        <v>34</v>
      </c>
      <c r="J147" s="458"/>
      <c r="K147" s="458">
        <f>SUM(K139:K146)</f>
        <v>28143</v>
      </c>
      <c r="L147" s="458"/>
    </row>
    <row r="148" ht="15" customHeight="1"/>
    <row r="149" spans="1:12" ht="15" customHeight="1">
      <c r="A149" s="146"/>
      <c r="B149" s="146"/>
      <c r="C149" s="146" t="s">
        <v>388</v>
      </c>
      <c r="D149" s="146"/>
      <c r="E149" s="146"/>
      <c r="F149" s="146"/>
      <c r="G149" s="146"/>
      <c r="H149" s="146"/>
      <c r="I149" s="146"/>
      <c r="J149" s="146"/>
      <c r="K149" s="146"/>
      <c r="L149" s="146"/>
    </row>
    <row r="150" spans="1:12" ht="15.75" customHeight="1">
      <c r="A150" s="146" t="s">
        <v>320</v>
      </c>
      <c r="B150" s="146"/>
      <c r="C150" s="146"/>
      <c r="D150" s="146"/>
      <c r="E150" s="146"/>
      <c r="F150" s="146"/>
      <c r="G150" s="146"/>
      <c r="H150" s="146"/>
      <c r="I150" s="146"/>
      <c r="J150" s="146"/>
      <c r="K150" s="146"/>
      <c r="L150" s="146"/>
    </row>
    <row r="151" spans="1:12" ht="15" customHeight="1">
      <c r="A151" s="157" t="s">
        <v>279</v>
      </c>
      <c r="B151" s="447" t="s">
        <v>299</v>
      </c>
      <c r="C151" s="447"/>
      <c r="D151" s="447"/>
      <c r="E151" s="447"/>
      <c r="F151" s="447"/>
      <c r="G151" s="447" t="s">
        <v>340</v>
      </c>
      <c r="H151" s="447"/>
      <c r="I151" s="459" t="s">
        <v>341</v>
      </c>
      <c r="J151" s="459"/>
      <c r="K151" s="459" t="s">
        <v>342</v>
      </c>
      <c r="L151" s="459"/>
    </row>
    <row r="152" spans="1:14" ht="15" customHeight="1">
      <c r="A152" s="157"/>
      <c r="B152" s="455" t="s">
        <v>397</v>
      </c>
      <c r="C152" s="456"/>
      <c r="D152" s="456"/>
      <c r="E152" s="456"/>
      <c r="F152" s="457"/>
      <c r="G152" s="447">
        <v>9</v>
      </c>
      <c r="H152" s="447"/>
      <c r="I152" s="458">
        <v>1168</v>
      </c>
      <c r="J152" s="458"/>
      <c r="K152" s="458">
        <f>7008+3504+2336</f>
        <v>12848</v>
      </c>
      <c r="L152" s="458"/>
      <c r="N152" s="141">
        <v>7008</v>
      </c>
    </row>
    <row r="153" spans="1:12" ht="15" customHeight="1">
      <c r="A153" s="157"/>
      <c r="B153" s="444" t="s">
        <v>343</v>
      </c>
      <c r="C153" s="444"/>
      <c r="D153" s="444"/>
      <c r="E153" s="444"/>
      <c r="F153" s="444"/>
      <c r="G153" s="447">
        <v>2</v>
      </c>
      <c r="H153" s="447"/>
      <c r="I153" s="458">
        <f aca="true" t="shared" si="2" ref="I153:I158">K153/G153</f>
        <v>2678</v>
      </c>
      <c r="J153" s="458"/>
      <c r="K153" s="458">
        <v>5356</v>
      </c>
      <c r="L153" s="458"/>
    </row>
    <row r="154" spans="1:14" ht="15" customHeight="1">
      <c r="A154" s="157"/>
      <c r="B154" s="444" t="s">
        <v>413</v>
      </c>
      <c r="C154" s="444"/>
      <c r="D154" s="444"/>
      <c r="E154" s="444"/>
      <c r="F154" s="444"/>
      <c r="G154" s="447">
        <v>9</v>
      </c>
      <c r="H154" s="447"/>
      <c r="I154" s="458">
        <f t="shared" si="2"/>
        <v>2880</v>
      </c>
      <c r="J154" s="458"/>
      <c r="K154" s="458">
        <f>12960+6480+6480</f>
        <v>25920</v>
      </c>
      <c r="L154" s="458"/>
      <c r="N154" s="141">
        <v>2160</v>
      </c>
    </row>
    <row r="155" spans="1:16" ht="15" customHeight="1">
      <c r="A155" s="157"/>
      <c r="B155" s="444" t="s">
        <v>530</v>
      </c>
      <c r="C155" s="444"/>
      <c r="D155" s="444"/>
      <c r="E155" s="444"/>
      <c r="F155" s="444"/>
      <c r="G155" s="447">
        <v>46</v>
      </c>
      <c r="H155" s="447"/>
      <c r="I155" s="458">
        <f t="shared" si="2"/>
        <v>2130.978260869565</v>
      </c>
      <c r="J155" s="458"/>
      <c r="K155" s="460">
        <f>148025-50000</f>
        <v>98025</v>
      </c>
      <c r="L155" s="462"/>
      <c r="N155" s="192"/>
      <c r="O155" s="193"/>
      <c r="P155" s="193"/>
    </row>
    <row r="156" spans="1:16" ht="15" customHeight="1">
      <c r="A156" s="157"/>
      <c r="B156" s="444" t="s">
        <v>531</v>
      </c>
      <c r="C156" s="444"/>
      <c r="D156" s="444"/>
      <c r="E156" s="444"/>
      <c r="F156" s="444"/>
      <c r="G156" s="447">
        <v>1</v>
      </c>
      <c r="H156" s="447"/>
      <c r="I156" s="458">
        <f t="shared" si="2"/>
        <v>1580</v>
      </c>
      <c r="J156" s="458"/>
      <c r="K156" s="460">
        <v>1580</v>
      </c>
      <c r="L156" s="462"/>
      <c r="N156" s="194"/>
      <c r="O156" s="193"/>
      <c r="P156" s="193"/>
    </row>
    <row r="157" spans="1:14" ht="15" customHeight="1">
      <c r="A157" s="157"/>
      <c r="B157" s="444" t="s">
        <v>508</v>
      </c>
      <c r="C157" s="444"/>
      <c r="D157" s="444"/>
      <c r="E157" s="444"/>
      <c r="F157" s="444"/>
      <c r="G157" s="447">
        <v>1</v>
      </c>
      <c r="H157" s="447"/>
      <c r="I157" s="458">
        <f t="shared" si="2"/>
        <v>2000</v>
      </c>
      <c r="J157" s="458"/>
      <c r="K157" s="458">
        <v>2000</v>
      </c>
      <c r="L157" s="458"/>
      <c r="N157" s="141">
        <v>2000</v>
      </c>
    </row>
    <row r="158" spans="1:12" ht="15" customHeight="1">
      <c r="A158" s="157"/>
      <c r="B158" s="444" t="s">
        <v>533</v>
      </c>
      <c r="C158" s="444"/>
      <c r="D158" s="444"/>
      <c r="E158" s="444"/>
      <c r="F158" s="444"/>
      <c r="G158" s="447">
        <v>1</v>
      </c>
      <c r="H158" s="447"/>
      <c r="I158" s="458">
        <f t="shared" si="2"/>
        <v>2000</v>
      </c>
      <c r="J158" s="458"/>
      <c r="K158" s="458">
        <v>2000</v>
      </c>
      <c r="L158" s="458"/>
    </row>
    <row r="159" spans="1:12" ht="15" customHeight="1">
      <c r="A159" s="157"/>
      <c r="B159" s="444" t="s">
        <v>557</v>
      </c>
      <c r="C159" s="444"/>
      <c r="D159" s="444"/>
      <c r="E159" s="444"/>
      <c r="F159" s="444"/>
      <c r="G159" s="447">
        <v>1</v>
      </c>
      <c r="H159" s="447"/>
      <c r="I159" s="458">
        <f>K159/G159</f>
        <v>2986</v>
      </c>
      <c r="J159" s="458"/>
      <c r="K159" s="512">
        <v>2986</v>
      </c>
      <c r="L159" s="512"/>
    </row>
    <row r="160" spans="1:12" ht="15" customHeight="1">
      <c r="A160" s="173"/>
      <c r="B160" s="447" t="s">
        <v>300</v>
      </c>
      <c r="C160" s="447"/>
      <c r="D160" s="447"/>
      <c r="E160" s="447"/>
      <c r="F160" s="447"/>
      <c r="G160" s="451" t="s">
        <v>34</v>
      </c>
      <c r="H160" s="452"/>
      <c r="I160" s="453" t="s">
        <v>34</v>
      </c>
      <c r="J160" s="454"/>
      <c r="K160" s="458">
        <f>SUM(K152:L159)</f>
        <v>150715</v>
      </c>
      <c r="L160" s="458"/>
    </row>
    <row r="161" spans="1:12" ht="15" customHeight="1">
      <c r="A161" s="170"/>
      <c r="B161" s="159"/>
      <c r="C161" s="159"/>
      <c r="D161" s="159"/>
      <c r="E161" s="159"/>
      <c r="F161" s="159"/>
      <c r="G161" s="174"/>
      <c r="H161" s="174"/>
      <c r="I161" s="175"/>
      <c r="J161" s="175"/>
      <c r="K161" s="160"/>
      <c r="L161" s="160"/>
    </row>
    <row r="162" spans="1:14" ht="18" customHeight="1">
      <c r="A162" s="146"/>
      <c r="B162" s="146"/>
      <c r="C162" s="146" t="s">
        <v>388</v>
      </c>
      <c r="D162" s="146"/>
      <c r="E162" s="146"/>
      <c r="F162" s="146"/>
      <c r="G162" s="146"/>
      <c r="H162" s="146"/>
      <c r="I162" s="146"/>
      <c r="J162" s="146"/>
      <c r="K162" s="146"/>
      <c r="L162" s="146"/>
      <c r="N162" s="170"/>
    </row>
    <row r="163" spans="1:14" ht="15" customHeight="1">
      <c r="A163" s="146" t="s">
        <v>339</v>
      </c>
      <c r="B163" s="146"/>
      <c r="C163" s="146"/>
      <c r="D163" s="146"/>
      <c r="E163" s="146"/>
      <c r="F163" s="146"/>
      <c r="G163" s="146"/>
      <c r="H163" s="146"/>
      <c r="I163" s="146"/>
      <c r="J163" s="146"/>
      <c r="K163" s="146"/>
      <c r="L163" s="146"/>
      <c r="N163" s="170"/>
    </row>
    <row r="164" spans="1:14" ht="15" customHeight="1">
      <c r="A164" s="157" t="s">
        <v>279</v>
      </c>
      <c r="B164" s="447" t="s">
        <v>299</v>
      </c>
      <c r="C164" s="447"/>
      <c r="D164" s="447"/>
      <c r="E164" s="447"/>
      <c r="F164" s="447"/>
      <c r="G164" s="447" t="s">
        <v>340</v>
      </c>
      <c r="H164" s="447"/>
      <c r="I164" s="459" t="s">
        <v>341</v>
      </c>
      <c r="J164" s="459"/>
      <c r="K164" s="459" t="s">
        <v>342</v>
      </c>
      <c r="L164" s="459"/>
      <c r="N164" s="170"/>
    </row>
    <row r="165" spans="1:14" ht="15" customHeight="1">
      <c r="A165" s="157"/>
      <c r="B165" s="455" t="s">
        <v>461</v>
      </c>
      <c r="C165" s="456"/>
      <c r="D165" s="456"/>
      <c r="E165" s="456"/>
      <c r="F165" s="457"/>
      <c r="G165" s="447">
        <v>1</v>
      </c>
      <c r="H165" s="447"/>
      <c r="I165" s="458">
        <f>K165/G165</f>
        <v>5700</v>
      </c>
      <c r="J165" s="458"/>
      <c r="K165" s="458">
        <f>1900+3800</f>
        <v>5700</v>
      </c>
      <c r="L165" s="458"/>
      <c r="N165" s="171"/>
    </row>
    <row r="166" spans="1:16" ht="12.75" customHeight="1">
      <c r="A166" s="157"/>
      <c r="B166" s="448" t="s">
        <v>521</v>
      </c>
      <c r="C166" s="449"/>
      <c r="D166" s="449"/>
      <c r="E166" s="449"/>
      <c r="F166" s="450"/>
      <c r="G166" s="447">
        <v>1</v>
      </c>
      <c r="H166" s="447"/>
      <c r="I166" s="446">
        <f>K166/G166</f>
        <v>6300</v>
      </c>
      <c r="J166" s="446"/>
      <c r="K166" s="446">
        <v>6300</v>
      </c>
      <c r="L166" s="446"/>
      <c r="N166" s="170"/>
      <c r="O166" s="170"/>
      <c r="P166" s="131"/>
    </row>
    <row r="167" spans="1:16" ht="12.75" customHeight="1">
      <c r="A167" s="157"/>
      <c r="B167" s="448" t="s">
        <v>539</v>
      </c>
      <c r="C167" s="449"/>
      <c r="D167" s="449"/>
      <c r="E167" s="449"/>
      <c r="F167" s="450"/>
      <c r="G167" s="447">
        <v>1</v>
      </c>
      <c r="H167" s="447"/>
      <c r="I167" s="446">
        <f>K167/G167</f>
        <v>441600</v>
      </c>
      <c r="J167" s="446"/>
      <c r="K167" s="446">
        <v>441600</v>
      </c>
      <c r="L167" s="446"/>
      <c r="N167" s="170"/>
      <c r="O167" s="131"/>
      <c r="P167" s="131"/>
    </row>
    <row r="168" spans="1:14" ht="15" customHeight="1">
      <c r="A168" s="173"/>
      <c r="B168" s="447" t="s">
        <v>300</v>
      </c>
      <c r="C168" s="447"/>
      <c r="D168" s="447"/>
      <c r="E168" s="447"/>
      <c r="F168" s="447"/>
      <c r="G168" s="451" t="s">
        <v>34</v>
      </c>
      <c r="H168" s="452"/>
      <c r="I168" s="453" t="s">
        <v>34</v>
      </c>
      <c r="J168" s="454"/>
      <c r="K168" s="458">
        <f>SUM(K165:L167)</f>
        <v>453600</v>
      </c>
      <c r="L168" s="458"/>
      <c r="N168" s="170"/>
    </row>
    <row r="169" spans="1:14" ht="15" customHeight="1">
      <c r="A169" s="170"/>
      <c r="B169" s="159"/>
      <c r="C169" s="159"/>
      <c r="D169" s="159"/>
      <c r="E169" s="159"/>
      <c r="F169" s="159"/>
      <c r="G169" s="174"/>
      <c r="H169" s="174"/>
      <c r="I169" s="175"/>
      <c r="J169" s="175"/>
      <c r="K169" s="160"/>
      <c r="L169" s="160"/>
      <c r="N169" s="170"/>
    </row>
    <row r="170" spans="1:14" ht="15" customHeight="1">
      <c r="A170" s="146"/>
      <c r="B170" s="146"/>
      <c r="C170" s="146" t="s">
        <v>388</v>
      </c>
      <c r="D170" s="146"/>
      <c r="E170" s="146"/>
      <c r="F170" s="146"/>
      <c r="G170" s="146"/>
      <c r="H170" s="146"/>
      <c r="I170" s="146"/>
      <c r="J170" s="146"/>
      <c r="K170" s="146"/>
      <c r="L170" s="146"/>
      <c r="N170" s="170"/>
    </row>
    <row r="171" spans="1:14" ht="15" customHeight="1">
      <c r="A171" s="146" t="s">
        <v>485</v>
      </c>
      <c r="B171" s="146"/>
      <c r="C171" s="146"/>
      <c r="D171" s="146"/>
      <c r="E171" s="146"/>
      <c r="F171" s="146"/>
      <c r="G171" s="146"/>
      <c r="H171" s="146"/>
      <c r="I171" s="146"/>
      <c r="J171" s="146"/>
      <c r="K171" s="146"/>
      <c r="L171" s="146"/>
      <c r="N171" s="170"/>
    </row>
    <row r="172" spans="1:14" ht="15" customHeight="1">
      <c r="A172" s="157" t="s">
        <v>279</v>
      </c>
      <c r="B172" s="447" t="s">
        <v>299</v>
      </c>
      <c r="C172" s="447"/>
      <c r="D172" s="447"/>
      <c r="E172" s="447"/>
      <c r="F172" s="447"/>
      <c r="G172" s="447" t="s">
        <v>340</v>
      </c>
      <c r="H172" s="447"/>
      <c r="I172" s="459" t="s">
        <v>341</v>
      </c>
      <c r="J172" s="459"/>
      <c r="K172" s="459" t="s">
        <v>342</v>
      </c>
      <c r="L172" s="459"/>
      <c r="N172" s="170"/>
    </row>
    <row r="173" spans="1:14" ht="15" customHeight="1">
      <c r="A173" s="157"/>
      <c r="B173" s="455" t="s">
        <v>505</v>
      </c>
      <c r="C173" s="456"/>
      <c r="D173" s="456"/>
      <c r="E173" s="456"/>
      <c r="F173" s="457"/>
      <c r="G173" s="447">
        <v>1</v>
      </c>
      <c r="H173" s="447"/>
      <c r="I173" s="458">
        <v>1000</v>
      </c>
      <c r="J173" s="458"/>
      <c r="K173" s="458">
        <f>G173*I173</f>
        <v>1000</v>
      </c>
      <c r="L173" s="458"/>
      <c r="N173" s="170"/>
    </row>
    <row r="174" spans="1:14" ht="15" customHeight="1">
      <c r="A174" s="173"/>
      <c r="B174" s="502" t="s">
        <v>300</v>
      </c>
      <c r="C174" s="502"/>
      <c r="D174" s="502"/>
      <c r="E174" s="502"/>
      <c r="F174" s="502"/>
      <c r="G174" s="451" t="s">
        <v>34</v>
      </c>
      <c r="H174" s="452"/>
      <c r="I174" s="453" t="s">
        <v>34</v>
      </c>
      <c r="J174" s="454"/>
      <c r="K174" s="509">
        <f>SUM(K173:L173)</f>
        <v>1000</v>
      </c>
      <c r="L174" s="509"/>
      <c r="N174" s="170"/>
    </row>
    <row r="175" spans="1:14" ht="15" customHeight="1">
      <c r="A175" s="170"/>
      <c r="B175" s="159"/>
      <c r="C175" s="159"/>
      <c r="D175" s="159"/>
      <c r="E175" s="159"/>
      <c r="F175" s="159"/>
      <c r="G175" s="174"/>
      <c r="H175" s="174"/>
      <c r="I175" s="175"/>
      <c r="J175" s="175"/>
      <c r="K175" s="160"/>
      <c r="L175" s="160"/>
      <c r="N175" s="170"/>
    </row>
    <row r="176" spans="1:12" ht="15" customHeight="1">
      <c r="A176" s="146"/>
      <c r="B176" s="146"/>
      <c r="C176" s="146" t="s">
        <v>391</v>
      </c>
      <c r="D176" s="146"/>
      <c r="E176" s="146"/>
      <c r="F176" s="146"/>
      <c r="G176" s="146"/>
      <c r="H176" s="146"/>
      <c r="I176" s="146"/>
      <c r="J176" s="146"/>
      <c r="K176" s="146"/>
      <c r="L176" s="146"/>
    </row>
    <row r="177" spans="1:14" ht="15" customHeight="1">
      <c r="A177" s="146" t="s">
        <v>392</v>
      </c>
      <c r="B177" s="146"/>
      <c r="C177" s="146"/>
      <c r="D177" s="146"/>
      <c r="E177" s="146"/>
      <c r="F177" s="146"/>
      <c r="G177" s="146"/>
      <c r="H177" s="146"/>
      <c r="I177" s="146"/>
      <c r="J177" s="146"/>
      <c r="K177" s="146"/>
      <c r="L177" s="146"/>
      <c r="N177" s="172"/>
    </row>
    <row r="178" spans="1:12" ht="15" customHeight="1">
      <c r="A178" s="157" t="s">
        <v>279</v>
      </c>
      <c r="B178" s="447" t="s">
        <v>299</v>
      </c>
      <c r="C178" s="447"/>
      <c r="D178" s="447"/>
      <c r="E178" s="447"/>
      <c r="F178" s="447"/>
      <c r="G178" s="463" t="s">
        <v>340</v>
      </c>
      <c r="H178" s="465"/>
      <c r="I178" s="459" t="s">
        <v>393</v>
      </c>
      <c r="J178" s="459"/>
      <c r="K178" s="459" t="s">
        <v>342</v>
      </c>
      <c r="L178" s="459"/>
    </row>
    <row r="179" spans="1:12" ht="24" customHeight="1">
      <c r="A179" s="157"/>
      <c r="B179" s="448" t="s">
        <v>394</v>
      </c>
      <c r="C179" s="449"/>
      <c r="D179" s="449"/>
      <c r="E179" s="449"/>
      <c r="F179" s="450"/>
      <c r="G179" s="447">
        <v>31</v>
      </c>
      <c r="H179" s="447"/>
      <c r="I179" s="458">
        <f>K179/G179/168</f>
        <v>0.20602918586789554</v>
      </c>
      <c r="J179" s="458"/>
      <c r="K179" s="458">
        <v>1073</v>
      </c>
      <c r="L179" s="458"/>
    </row>
    <row r="180" spans="1:12" ht="23.25" customHeight="1">
      <c r="A180" s="157"/>
      <c r="B180" s="448" t="s">
        <v>395</v>
      </c>
      <c r="C180" s="449"/>
      <c r="D180" s="449"/>
      <c r="E180" s="449"/>
      <c r="F180" s="450"/>
      <c r="G180" s="447">
        <v>45</v>
      </c>
      <c r="H180" s="447"/>
      <c r="I180" s="458">
        <f>K180/G180/247</f>
        <v>10.896536212325685</v>
      </c>
      <c r="J180" s="458"/>
      <c r="K180" s="513">
        <f>371560-2000-1285-327160+40000+20000+20000</f>
        <v>121115</v>
      </c>
      <c r="L180" s="513"/>
    </row>
    <row r="181" spans="1:15" ht="15" customHeight="1">
      <c r="A181" s="157"/>
      <c r="B181" s="444" t="s">
        <v>532</v>
      </c>
      <c r="C181" s="444"/>
      <c r="D181" s="444"/>
      <c r="E181" s="444"/>
      <c r="F181" s="444"/>
      <c r="G181" s="447">
        <v>1</v>
      </c>
      <c r="H181" s="447"/>
      <c r="I181" s="458">
        <f>K181/G181</f>
        <v>1010</v>
      </c>
      <c r="J181" s="458"/>
      <c r="K181" s="460">
        <v>1010</v>
      </c>
      <c r="L181" s="462"/>
      <c r="O181" s="22"/>
    </row>
    <row r="182" spans="1:15" s="137" customFormat="1" ht="18" customHeight="1">
      <c r="A182" s="157"/>
      <c r="B182" s="448" t="s">
        <v>496</v>
      </c>
      <c r="C182" s="449"/>
      <c r="D182" s="449"/>
      <c r="E182" s="449"/>
      <c r="F182" s="450"/>
      <c r="G182" s="447">
        <v>34</v>
      </c>
      <c r="H182" s="447"/>
      <c r="I182" s="446">
        <v>0.3</v>
      </c>
      <c r="J182" s="446"/>
      <c r="K182" s="446">
        <v>2172</v>
      </c>
      <c r="L182" s="446"/>
      <c r="M182" s="141"/>
      <c r="N182" s="141"/>
      <c r="O182" s="141"/>
    </row>
    <row r="183" spans="1:12" ht="15" customHeight="1">
      <c r="A183" s="157"/>
      <c r="B183" s="447" t="s">
        <v>300</v>
      </c>
      <c r="C183" s="447"/>
      <c r="D183" s="447"/>
      <c r="E183" s="447"/>
      <c r="F183" s="447"/>
      <c r="G183" s="447" t="s">
        <v>34</v>
      </c>
      <c r="H183" s="447"/>
      <c r="I183" s="458" t="s">
        <v>34</v>
      </c>
      <c r="J183" s="458"/>
      <c r="K183" s="458">
        <f>SUM(K179:K182)</f>
        <v>125370</v>
      </c>
      <c r="L183" s="458"/>
    </row>
    <row r="184" spans="1:12" ht="15" customHeight="1">
      <c r="A184" s="170"/>
      <c r="B184" s="159"/>
      <c r="C184" s="159"/>
      <c r="D184" s="159"/>
      <c r="E184" s="159"/>
      <c r="F184" s="159"/>
      <c r="G184" s="174"/>
      <c r="H184" s="174"/>
      <c r="I184" s="175"/>
      <c r="J184" s="175"/>
      <c r="K184" s="160"/>
      <c r="L184" s="160"/>
    </row>
    <row r="185" spans="1:12" ht="15" customHeight="1">
      <c r="A185" s="146"/>
      <c r="B185" s="146"/>
      <c r="C185" s="146" t="s">
        <v>546</v>
      </c>
      <c r="D185" s="146"/>
      <c r="E185" s="146"/>
      <c r="F185" s="146"/>
      <c r="G185" s="146"/>
      <c r="H185" s="146"/>
      <c r="I185" s="146"/>
      <c r="J185" s="146"/>
      <c r="K185" s="146"/>
      <c r="L185" s="146"/>
    </row>
    <row r="186" spans="1:12" ht="15" customHeight="1">
      <c r="A186" s="146" t="s">
        <v>389</v>
      </c>
      <c r="B186" s="146"/>
      <c r="C186" s="146"/>
      <c r="D186" s="146"/>
      <c r="E186" s="146"/>
      <c r="F186" s="146"/>
      <c r="G186" s="146"/>
      <c r="H186" s="146"/>
      <c r="I186" s="146"/>
      <c r="J186" s="146"/>
      <c r="K186" s="146"/>
      <c r="L186" s="146"/>
    </row>
    <row r="187" spans="1:12" ht="15" customHeight="1">
      <c r="A187" s="157" t="s">
        <v>279</v>
      </c>
      <c r="B187" s="447" t="s">
        <v>299</v>
      </c>
      <c r="C187" s="447"/>
      <c r="D187" s="447"/>
      <c r="E187" s="447"/>
      <c r="F187" s="447"/>
      <c r="G187" s="447" t="s">
        <v>340</v>
      </c>
      <c r="H187" s="447"/>
      <c r="I187" s="459" t="s">
        <v>341</v>
      </c>
      <c r="J187" s="459"/>
      <c r="K187" s="459" t="s">
        <v>342</v>
      </c>
      <c r="L187" s="459"/>
    </row>
    <row r="188" spans="1:12" ht="25.5" customHeight="1">
      <c r="A188" s="157"/>
      <c r="B188" s="448" t="s">
        <v>396</v>
      </c>
      <c r="C188" s="449"/>
      <c r="D188" s="449"/>
      <c r="E188" s="449"/>
      <c r="F188" s="450"/>
      <c r="G188" s="447">
        <v>26</v>
      </c>
      <c r="H188" s="447"/>
      <c r="I188" s="446">
        <v>60</v>
      </c>
      <c r="J188" s="446"/>
      <c r="K188" s="446">
        <v>199584</v>
      </c>
      <c r="L188" s="446"/>
    </row>
    <row r="189" spans="1:15" s="137" customFormat="1" ht="15.75" customHeight="1">
      <c r="A189" s="157"/>
      <c r="B189" s="448" t="s">
        <v>497</v>
      </c>
      <c r="C189" s="449"/>
      <c r="D189" s="449"/>
      <c r="E189" s="449"/>
      <c r="F189" s="450"/>
      <c r="G189" s="447">
        <v>34</v>
      </c>
      <c r="H189" s="447"/>
      <c r="I189" s="446">
        <v>15.92</v>
      </c>
      <c r="J189" s="446"/>
      <c r="K189" s="446">
        <f>49838+40000</f>
        <v>89838</v>
      </c>
      <c r="L189" s="446"/>
      <c r="M189" s="141"/>
      <c r="N189" s="141"/>
      <c r="O189" s="141"/>
    </row>
    <row r="190" spans="1:15" s="137" customFormat="1" ht="15" customHeight="1">
      <c r="A190" s="157"/>
      <c r="B190" s="448" t="s">
        <v>498</v>
      </c>
      <c r="C190" s="449"/>
      <c r="D190" s="449"/>
      <c r="E190" s="449"/>
      <c r="F190" s="450"/>
      <c r="G190" s="447">
        <v>28</v>
      </c>
      <c r="H190" s="447"/>
      <c r="I190" s="446">
        <v>120</v>
      </c>
      <c r="J190" s="446"/>
      <c r="K190" s="446">
        <f>70560+5880-27300</f>
        <v>49140</v>
      </c>
      <c r="L190" s="446"/>
      <c r="M190" s="141"/>
      <c r="N190" s="141"/>
      <c r="O190" s="141"/>
    </row>
    <row r="191" spans="1:15" s="137" customFormat="1" ht="16.5" customHeight="1">
      <c r="A191" s="157"/>
      <c r="B191" s="448" t="s">
        <v>496</v>
      </c>
      <c r="C191" s="449"/>
      <c r="D191" s="449"/>
      <c r="E191" s="449"/>
      <c r="F191" s="450"/>
      <c r="G191" s="447">
        <v>34</v>
      </c>
      <c r="H191" s="447"/>
      <c r="I191" s="446">
        <v>11.34</v>
      </c>
      <c r="J191" s="446"/>
      <c r="K191" s="446">
        <f>149287-17301</f>
        <v>131986</v>
      </c>
      <c r="L191" s="446"/>
      <c r="M191" s="141"/>
      <c r="N191" s="141"/>
      <c r="O191" s="141"/>
    </row>
    <row r="192" spans="1:15" s="137" customFormat="1" ht="19.5" customHeight="1">
      <c r="A192" s="157"/>
      <c r="B192" s="444" t="s">
        <v>545</v>
      </c>
      <c r="C192" s="444"/>
      <c r="D192" s="444"/>
      <c r="E192" s="444"/>
      <c r="F192" s="444"/>
      <c r="G192" s="447">
        <v>1</v>
      </c>
      <c r="H192" s="447"/>
      <c r="I192" s="446">
        <f>K192/G192</f>
        <v>146140</v>
      </c>
      <c r="J192" s="446"/>
      <c r="K192" s="446">
        <v>146140</v>
      </c>
      <c r="L192" s="446"/>
      <c r="M192" s="141"/>
      <c r="N192" s="141"/>
      <c r="O192" s="141"/>
    </row>
    <row r="193" spans="1:14" ht="15" customHeight="1">
      <c r="A193" s="157"/>
      <c r="B193" s="508" t="s">
        <v>346</v>
      </c>
      <c r="C193" s="508"/>
      <c r="D193" s="508"/>
      <c r="E193" s="508"/>
      <c r="F193" s="508"/>
      <c r="G193" s="447">
        <v>0</v>
      </c>
      <c r="H193" s="447"/>
      <c r="I193" s="458">
        <v>0</v>
      </c>
      <c r="J193" s="458"/>
      <c r="K193" s="458">
        <f>SUM(K188:L192)</f>
        <v>616688</v>
      </c>
      <c r="L193" s="458"/>
      <c r="N193" s="176"/>
    </row>
    <row r="194" spans="1:12" ht="13.5" customHeight="1">
      <c r="A194" s="169"/>
      <c r="B194" s="159"/>
      <c r="C194" s="159"/>
      <c r="D194" s="159"/>
      <c r="E194" s="159"/>
      <c r="F194" s="159"/>
      <c r="G194" s="159"/>
      <c r="H194" s="159"/>
      <c r="I194" s="160"/>
      <c r="J194" s="160"/>
      <c r="K194" s="160"/>
      <c r="L194" s="160"/>
    </row>
    <row r="195" spans="1:12" ht="15" customHeight="1">
      <c r="A195" s="146"/>
      <c r="B195" s="146"/>
      <c r="C195" s="146" t="s">
        <v>391</v>
      </c>
      <c r="D195" s="146"/>
      <c r="E195" s="146"/>
      <c r="F195" s="146"/>
      <c r="G195" s="146"/>
      <c r="H195" s="146"/>
      <c r="I195" s="146"/>
      <c r="J195" s="146"/>
      <c r="K195" s="146"/>
      <c r="L195" s="146"/>
    </row>
    <row r="196" spans="1:12" ht="15" customHeight="1">
      <c r="A196" s="146" t="s">
        <v>499</v>
      </c>
      <c r="B196" s="146"/>
      <c r="C196" s="146"/>
      <c r="D196" s="146"/>
      <c r="E196" s="146"/>
      <c r="F196" s="146"/>
      <c r="G196" s="146"/>
      <c r="H196" s="146"/>
      <c r="I196" s="146"/>
      <c r="J196" s="146"/>
      <c r="K196" s="146"/>
      <c r="L196" s="146"/>
    </row>
    <row r="197" spans="1:12" ht="15" customHeight="1">
      <c r="A197" s="157" t="s">
        <v>279</v>
      </c>
      <c r="B197" s="447" t="s">
        <v>299</v>
      </c>
      <c r="C197" s="447"/>
      <c r="D197" s="447"/>
      <c r="E197" s="447"/>
      <c r="F197" s="447"/>
      <c r="G197" s="447" t="s">
        <v>340</v>
      </c>
      <c r="H197" s="447"/>
      <c r="I197" s="459" t="s">
        <v>341</v>
      </c>
      <c r="J197" s="459"/>
      <c r="K197" s="459" t="s">
        <v>342</v>
      </c>
      <c r="L197" s="459"/>
    </row>
    <row r="198" spans="1:15" s="137" customFormat="1" ht="19.5" customHeight="1">
      <c r="A198" s="157"/>
      <c r="B198" s="448" t="s">
        <v>496</v>
      </c>
      <c r="C198" s="449"/>
      <c r="D198" s="449"/>
      <c r="E198" s="449"/>
      <c r="F198" s="450"/>
      <c r="G198" s="447">
        <v>34</v>
      </c>
      <c r="H198" s="447"/>
      <c r="I198" s="446">
        <v>48.36</v>
      </c>
      <c r="J198" s="446"/>
      <c r="K198" s="446">
        <f>284912-73759</f>
        <v>211153</v>
      </c>
      <c r="L198" s="446"/>
      <c r="M198" s="141"/>
      <c r="N198" s="141"/>
      <c r="O198" s="141"/>
    </row>
    <row r="199" spans="1:14" ht="15" customHeight="1">
      <c r="A199" s="157"/>
      <c r="B199" s="508" t="s">
        <v>346</v>
      </c>
      <c r="C199" s="508"/>
      <c r="D199" s="508"/>
      <c r="E199" s="508"/>
      <c r="F199" s="508"/>
      <c r="G199" s="447">
        <v>0</v>
      </c>
      <c r="H199" s="447"/>
      <c r="I199" s="458">
        <v>0</v>
      </c>
      <c r="J199" s="458"/>
      <c r="K199" s="458">
        <f>SUM(K198:L198)</f>
        <v>211153</v>
      </c>
      <c r="L199" s="458"/>
      <c r="N199" s="176"/>
    </row>
    <row r="200" spans="1:14" ht="15" customHeight="1">
      <c r="A200" s="169"/>
      <c r="B200" s="177"/>
      <c r="C200" s="177"/>
      <c r="D200" s="177"/>
      <c r="E200" s="177"/>
      <c r="F200" s="177"/>
      <c r="G200" s="159"/>
      <c r="H200" s="159"/>
      <c r="I200" s="160"/>
      <c r="J200" s="160"/>
      <c r="K200" s="160"/>
      <c r="L200" s="160"/>
      <c r="N200" s="176"/>
    </row>
    <row r="201" spans="1:12" ht="15" customHeight="1">
      <c r="A201" s="146"/>
      <c r="B201" s="146"/>
      <c r="C201" s="146" t="s">
        <v>399</v>
      </c>
      <c r="D201" s="146"/>
      <c r="E201" s="146"/>
      <c r="F201" s="146"/>
      <c r="G201" s="146"/>
      <c r="H201" s="146"/>
      <c r="I201" s="146"/>
      <c r="J201" s="146"/>
      <c r="K201" s="146"/>
      <c r="L201" s="146"/>
    </row>
    <row r="202" spans="1:12" ht="15" customHeight="1">
      <c r="A202" s="146" t="s">
        <v>339</v>
      </c>
      <c r="B202" s="146"/>
      <c r="C202" s="146"/>
      <c r="D202" s="146"/>
      <c r="E202" s="146"/>
      <c r="F202" s="146"/>
      <c r="G202" s="146"/>
      <c r="H202" s="146"/>
      <c r="I202" s="146"/>
      <c r="J202" s="146"/>
      <c r="K202" s="146"/>
      <c r="L202" s="146"/>
    </row>
    <row r="203" spans="1:12" ht="15" customHeight="1">
      <c r="A203" s="157" t="s">
        <v>279</v>
      </c>
      <c r="B203" s="447" t="s">
        <v>299</v>
      </c>
      <c r="C203" s="447"/>
      <c r="D203" s="447"/>
      <c r="E203" s="447"/>
      <c r="F203" s="447"/>
      <c r="G203" s="447" t="s">
        <v>340</v>
      </c>
      <c r="H203" s="447"/>
      <c r="I203" s="459" t="s">
        <v>341</v>
      </c>
      <c r="J203" s="459"/>
      <c r="K203" s="459" t="s">
        <v>342</v>
      </c>
      <c r="L203" s="459"/>
    </row>
    <row r="204" spans="1:12" ht="15" customHeight="1">
      <c r="A204" s="157">
        <v>1</v>
      </c>
      <c r="B204" s="444" t="s">
        <v>400</v>
      </c>
      <c r="C204" s="444"/>
      <c r="D204" s="444"/>
      <c r="E204" s="444"/>
      <c r="F204" s="444"/>
      <c r="G204" s="447">
        <v>80</v>
      </c>
      <c r="H204" s="447"/>
      <c r="I204" s="458">
        <f>K204/G204</f>
        <v>348</v>
      </c>
      <c r="J204" s="458"/>
      <c r="K204" s="512">
        <f>20443+7397</f>
        <v>27840</v>
      </c>
      <c r="L204" s="512"/>
    </row>
    <row r="205" spans="1:12" ht="15" customHeight="1">
      <c r="A205" s="157">
        <v>2</v>
      </c>
      <c r="B205" s="444" t="s">
        <v>401</v>
      </c>
      <c r="C205" s="444"/>
      <c r="D205" s="444"/>
      <c r="E205" s="444"/>
      <c r="F205" s="444"/>
      <c r="G205" s="447">
        <v>118</v>
      </c>
      <c r="H205" s="447"/>
      <c r="I205" s="458">
        <f>K205/G205</f>
        <v>139.4915254237288</v>
      </c>
      <c r="J205" s="458"/>
      <c r="K205" s="512">
        <f>5115+11345</f>
        <v>16460</v>
      </c>
      <c r="L205" s="512"/>
    </row>
    <row r="206" spans="1:14" ht="15" customHeight="1">
      <c r="A206" s="157"/>
      <c r="B206" s="444" t="s">
        <v>346</v>
      </c>
      <c r="C206" s="444"/>
      <c r="D206" s="444"/>
      <c r="E206" s="444"/>
      <c r="F206" s="444"/>
      <c r="G206" s="447">
        <v>0</v>
      </c>
      <c r="H206" s="447"/>
      <c r="I206" s="458">
        <v>0</v>
      </c>
      <c r="J206" s="458"/>
      <c r="K206" s="458">
        <f>SUM(K204:L205)</f>
        <v>44300</v>
      </c>
      <c r="L206" s="458"/>
      <c r="N206" s="176"/>
    </row>
    <row r="207" spans="1:14" ht="15" customHeight="1">
      <c r="A207" s="169"/>
      <c r="B207" s="178"/>
      <c r="C207" s="178"/>
      <c r="D207" s="178"/>
      <c r="E207" s="178"/>
      <c r="F207" s="178"/>
      <c r="G207" s="159"/>
      <c r="H207" s="159"/>
      <c r="I207" s="160"/>
      <c r="J207" s="160"/>
      <c r="K207" s="160"/>
      <c r="L207" s="160"/>
      <c r="N207" s="176"/>
    </row>
    <row r="208" spans="1:12" ht="15" customHeight="1">
      <c r="A208" s="169"/>
      <c r="B208" s="169"/>
      <c r="C208" s="169"/>
      <c r="D208" s="146" t="s">
        <v>351</v>
      </c>
      <c r="E208" s="146"/>
      <c r="F208" s="146"/>
      <c r="G208" s="146"/>
      <c r="H208" s="146"/>
      <c r="I208" s="146"/>
      <c r="J208" s="146"/>
      <c r="K208" s="146"/>
      <c r="L208" s="169"/>
    </row>
    <row r="209" spans="1:12" ht="15" customHeight="1">
      <c r="A209" s="146" t="s">
        <v>485</v>
      </c>
      <c r="B209" s="169"/>
      <c r="C209" s="169"/>
      <c r="D209" s="146"/>
      <c r="E209" s="146"/>
      <c r="F209" s="146"/>
      <c r="G209" s="146"/>
      <c r="H209" s="146"/>
      <c r="I209" s="146"/>
      <c r="J209" s="146"/>
      <c r="K209" s="146"/>
      <c r="L209" s="169"/>
    </row>
    <row r="210" spans="1:12" ht="15" customHeight="1">
      <c r="A210" s="157" t="s">
        <v>279</v>
      </c>
      <c r="B210" s="447" t="s">
        <v>299</v>
      </c>
      <c r="C210" s="447"/>
      <c r="D210" s="447"/>
      <c r="E210" s="447"/>
      <c r="F210" s="447"/>
      <c r="G210" s="447" t="s">
        <v>340</v>
      </c>
      <c r="H210" s="447"/>
      <c r="I210" s="459" t="s">
        <v>341</v>
      </c>
      <c r="J210" s="459"/>
      <c r="K210" s="459" t="s">
        <v>342</v>
      </c>
      <c r="L210" s="459"/>
    </row>
    <row r="211" spans="1:12" ht="15" customHeight="1">
      <c r="A211" s="157"/>
      <c r="B211" s="444" t="s">
        <v>347</v>
      </c>
      <c r="C211" s="444"/>
      <c r="D211" s="444"/>
      <c r="E211" s="444"/>
      <c r="F211" s="444"/>
      <c r="G211" s="447"/>
      <c r="H211" s="447"/>
      <c r="I211" s="458"/>
      <c r="J211" s="458"/>
      <c r="K211" s="458">
        <f>19895.4+14043.84+11750.96-1000+1320</f>
        <v>46010.200000000004</v>
      </c>
      <c r="L211" s="458"/>
    </row>
    <row r="212" spans="1:12" ht="15" customHeight="1">
      <c r="A212" s="157"/>
      <c r="B212" s="444" t="s">
        <v>345</v>
      </c>
      <c r="C212" s="444"/>
      <c r="D212" s="444"/>
      <c r="E212" s="444"/>
      <c r="F212" s="444"/>
      <c r="G212" s="447"/>
      <c r="H212" s="447"/>
      <c r="I212" s="458"/>
      <c r="J212" s="458"/>
      <c r="K212" s="458">
        <f>378012.6+28725+354960+131654.03</f>
        <v>893351.63</v>
      </c>
      <c r="L212" s="458"/>
    </row>
    <row r="213" spans="1:12" ht="15" customHeight="1">
      <c r="A213" s="157"/>
      <c r="B213" s="455" t="s">
        <v>522</v>
      </c>
      <c r="C213" s="456"/>
      <c r="D213" s="456"/>
      <c r="E213" s="456"/>
      <c r="F213" s="457"/>
      <c r="G213" s="467"/>
      <c r="H213" s="468"/>
      <c r="I213" s="469"/>
      <c r="J213" s="470"/>
      <c r="K213" s="460">
        <f>8000-1320</f>
        <v>6680</v>
      </c>
      <c r="L213" s="462"/>
    </row>
    <row r="214" spans="1:14" ht="15" customHeight="1">
      <c r="A214" s="173"/>
      <c r="B214" s="502" t="s">
        <v>300</v>
      </c>
      <c r="C214" s="502"/>
      <c r="D214" s="502"/>
      <c r="E214" s="502"/>
      <c r="F214" s="502"/>
      <c r="G214" s="451" t="s">
        <v>34</v>
      </c>
      <c r="H214" s="452"/>
      <c r="I214" s="453" t="s">
        <v>34</v>
      </c>
      <c r="J214" s="454"/>
      <c r="K214" s="509">
        <f>SUM(K211:L213)</f>
        <v>946041.83</v>
      </c>
      <c r="L214" s="509"/>
      <c r="N214" s="176">
        <f>N59+M95+J102+J108+L118+L125+L134+K147-K145+K160+K180</f>
        <v>17674986.459554423</v>
      </c>
    </row>
    <row r="215" ht="15" customHeight="1"/>
    <row r="216" ht="15" customHeight="1">
      <c r="F216" s="147" t="s">
        <v>348</v>
      </c>
    </row>
    <row r="217" ht="15" customHeight="1"/>
    <row r="218" spans="1:13" ht="15" customHeight="1">
      <c r="A218" s="148"/>
      <c r="B218" s="148"/>
      <c r="C218" s="148"/>
      <c r="D218" s="149" t="s">
        <v>354</v>
      </c>
      <c r="E218" s="149"/>
      <c r="F218" s="149"/>
      <c r="G218" s="149"/>
      <c r="H218" s="149"/>
      <c r="I218" s="150"/>
      <c r="J218" s="150"/>
      <c r="K218" s="150"/>
      <c r="L218" s="148"/>
      <c r="M218" s="149"/>
    </row>
    <row r="219" spans="1:13" ht="15" customHeight="1">
      <c r="A219" s="150" t="s">
        <v>344</v>
      </c>
      <c r="B219" s="148"/>
      <c r="C219" s="148"/>
      <c r="D219" s="150"/>
      <c r="E219" s="150"/>
      <c r="F219" s="150"/>
      <c r="G219" s="150"/>
      <c r="H219" s="150"/>
      <c r="I219" s="150"/>
      <c r="J219" s="150"/>
      <c r="K219" s="150"/>
      <c r="L219" s="148"/>
      <c r="M219" s="149"/>
    </row>
    <row r="220" spans="1:13" ht="15" customHeight="1">
      <c r="A220" s="199" t="s">
        <v>279</v>
      </c>
      <c r="B220" s="481" t="s">
        <v>355</v>
      </c>
      <c r="C220" s="482"/>
      <c r="D220" s="482"/>
      <c r="E220" s="482"/>
      <c r="F220" s="483"/>
      <c r="G220" s="481" t="s">
        <v>356</v>
      </c>
      <c r="H220" s="483"/>
      <c r="I220" s="493" t="s">
        <v>357</v>
      </c>
      <c r="J220" s="494"/>
      <c r="K220" s="493" t="s">
        <v>358</v>
      </c>
      <c r="L220" s="494"/>
      <c r="M220" s="151" t="s">
        <v>342</v>
      </c>
    </row>
    <row r="221" spans="1:13" ht="15" customHeight="1">
      <c r="A221" s="199"/>
      <c r="B221" s="201" t="s">
        <v>365</v>
      </c>
      <c r="C221" s="202"/>
      <c r="D221" s="202"/>
      <c r="E221" s="202"/>
      <c r="F221" s="203"/>
      <c r="G221" s="481">
        <v>34</v>
      </c>
      <c r="H221" s="483"/>
      <c r="I221" s="497">
        <v>63.16</v>
      </c>
      <c r="J221" s="498"/>
      <c r="K221" s="500">
        <v>168</v>
      </c>
      <c r="L221" s="501"/>
      <c r="M221" s="152">
        <f>G221*I221*K221</f>
        <v>360769.92</v>
      </c>
    </row>
    <row r="222" spans="1:13" ht="15" customHeight="1">
      <c r="A222" s="199"/>
      <c r="B222" s="201" t="s">
        <v>366</v>
      </c>
      <c r="C222" s="202"/>
      <c r="D222" s="202"/>
      <c r="E222" s="202"/>
      <c r="F222" s="203"/>
      <c r="G222" s="481">
        <v>7</v>
      </c>
      <c r="H222" s="483"/>
      <c r="I222" s="497">
        <v>31.58</v>
      </c>
      <c r="J222" s="498"/>
      <c r="K222" s="500">
        <v>168</v>
      </c>
      <c r="L222" s="501"/>
      <c r="M222" s="152">
        <f>G222*I222*K222</f>
        <v>37138.08</v>
      </c>
    </row>
    <row r="223" spans="1:13" ht="15" customHeight="1">
      <c r="A223" s="153"/>
      <c r="B223" s="484" t="s">
        <v>300</v>
      </c>
      <c r="C223" s="485"/>
      <c r="D223" s="485"/>
      <c r="E223" s="485"/>
      <c r="F223" s="486"/>
      <c r="G223" s="471" t="s">
        <v>34</v>
      </c>
      <c r="H223" s="492"/>
      <c r="I223" s="495" t="s">
        <v>34</v>
      </c>
      <c r="J223" s="496"/>
      <c r="K223" s="497" t="s">
        <v>34</v>
      </c>
      <c r="L223" s="498"/>
      <c r="M223" s="154">
        <f>SUM(M221:N222)</f>
        <v>397908</v>
      </c>
    </row>
    <row r="224" spans="1:13" ht="15" customHeight="1">
      <c r="A224" s="150"/>
      <c r="B224" s="149"/>
      <c r="C224" s="149"/>
      <c r="D224" s="149"/>
      <c r="E224" s="149"/>
      <c r="F224" s="149"/>
      <c r="G224" s="149"/>
      <c r="H224" s="149"/>
      <c r="I224" s="149"/>
      <c r="J224" s="149"/>
      <c r="K224" s="149"/>
      <c r="L224" s="149"/>
      <c r="M224" s="149"/>
    </row>
    <row r="225" spans="1:13" ht="15" customHeight="1">
      <c r="A225" s="150"/>
      <c r="B225" s="149"/>
      <c r="C225" s="149"/>
      <c r="D225" s="149" t="s">
        <v>359</v>
      </c>
      <c r="E225" s="149"/>
      <c r="F225" s="149"/>
      <c r="G225" s="149"/>
      <c r="H225" s="149"/>
      <c r="I225" s="150"/>
      <c r="J225" s="149"/>
      <c r="K225" s="149"/>
      <c r="L225" s="149"/>
      <c r="M225" s="149"/>
    </row>
    <row r="226" spans="1:13" ht="15" customHeight="1">
      <c r="A226" s="150" t="s">
        <v>344</v>
      </c>
      <c r="B226" s="148"/>
      <c r="C226" s="148"/>
      <c r="D226" s="150"/>
      <c r="E226" s="150"/>
      <c r="F226" s="149"/>
      <c r="G226" s="149"/>
      <c r="H226" s="149"/>
      <c r="I226" s="149"/>
      <c r="J226" s="149"/>
      <c r="K226" s="149"/>
      <c r="L226" s="149"/>
      <c r="M226" s="149"/>
    </row>
    <row r="227" spans="1:13" ht="15" customHeight="1">
      <c r="A227" s="199" t="s">
        <v>279</v>
      </c>
      <c r="B227" s="481" t="s">
        <v>355</v>
      </c>
      <c r="C227" s="482"/>
      <c r="D227" s="482"/>
      <c r="E227" s="482"/>
      <c r="F227" s="483"/>
      <c r="G227" s="204" t="s">
        <v>356</v>
      </c>
      <c r="H227" s="205"/>
      <c r="I227" s="493" t="s">
        <v>357</v>
      </c>
      <c r="J227" s="494"/>
      <c r="K227" s="493" t="s">
        <v>358</v>
      </c>
      <c r="L227" s="494"/>
      <c r="M227" s="151" t="s">
        <v>342</v>
      </c>
    </row>
    <row r="228" spans="1:13" ht="15" customHeight="1">
      <c r="A228" s="199"/>
      <c r="B228" s="201" t="s">
        <v>368</v>
      </c>
      <c r="C228" s="202"/>
      <c r="D228" s="202"/>
      <c r="E228" s="202"/>
      <c r="F228" s="203"/>
      <c r="G228" s="481">
        <v>4</v>
      </c>
      <c r="H228" s="483"/>
      <c r="I228" s="497">
        <v>15</v>
      </c>
      <c r="J228" s="498"/>
      <c r="K228" s="500">
        <v>205</v>
      </c>
      <c r="L228" s="501"/>
      <c r="M228" s="152">
        <f>G228*I228*K228</f>
        <v>12300</v>
      </c>
    </row>
    <row r="229" spans="1:13" ht="15" customHeight="1">
      <c r="A229" s="199"/>
      <c r="B229" s="201" t="s">
        <v>369</v>
      </c>
      <c r="C229" s="202"/>
      <c r="D229" s="202"/>
      <c r="E229" s="202"/>
      <c r="F229" s="203"/>
      <c r="G229" s="481">
        <v>5</v>
      </c>
      <c r="H229" s="483"/>
      <c r="I229" s="497">
        <v>15</v>
      </c>
      <c r="J229" s="498"/>
      <c r="K229" s="500">
        <v>219</v>
      </c>
      <c r="L229" s="501"/>
      <c r="M229" s="152">
        <f>G229*I229*K229</f>
        <v>16425</v>
      </c>
    </row>
    <row r="230" spans="1:13" ht="15" customHeight="1">
      <c r="A230" s="153"/>
      <c r="B230" s="484" t="s">
        <v>300</v>
      </c>
      <c r="C230" s="485"/>
      <c r="D230" s="485"/>
      <c r="E230" s="485"/>
      <c r="F230" s="486"/>
      <c r="G230" s="471" t="s">
        <v>34</v>
      </c>
      <c r="H230" s="492"/>
      <c r="I230" s="495" t="s">
        <v>34</v>
      </c>
      <c r="J230" s="496"/>
      <c r="K230" s="497" t="s">
        <v>34</v>
      </c>
      <c r="L230" s="498"/>
      <c r="M230" s="154">
        <f>SUM(M228:M229)</f>
        <v>28725</v>
      </c>
    </row>
    <row r="231" spans="1:13" ht="15" customHeight="1">
      <c r="A231" s="150"/>
      <c r="B231" s="149"/>
      <c r="C231" s="149"/>
      <c r="D231" s="149"/>
      <c r="E231" s="149"/>
      <c r="F231" s="149"/>
      <c r="G231" s="149"/>
      <c r="H231" s="149"/>
      <c r="I231" s="149"/>
      <c r="J231" s="149"/>
      <c r="K231" s="149"/>
      <c r="L231" s="149"/>
      <c r="M231" s="149"/>
    </row>
    <row r="232" spans="1:13" ht="15" customHeight="1">
      <c r="A232" s="148"/>
      <c r="B232" s="148"/>
      <c r="C232" s="148"/>
      <c r="D232" s="149" t="s">
        <v>360</v>
      </c>
      <c r="E232" s="149"/>
      <c r="F232" s="149"/>
      <c r="G232" s="149"/>
      <c r="H232" s="149"/>
      <c r="I232" s="150"/>
      <c r="J232" s="150"/>
      <c r="K232" s="150"/>
      <c r="L232" s="148"/>
      <c r="M232" s="149"/>
    </row>
    <row r="233" spans="1:13" ht="15" customHeight="1">
      <c r="A233" s="150" t="s">
        <v>344</v>
      </c>
      <c r="B233" s="148"/>
      <c r="C233" s="148"/>
      <c r="D233" s="150"/>
      <c r="E233" s="150"/>
      <c r="F233" s="150"/>
      <c r="G233" s="150"/>
      <c r="H233" s="150"/>
      <c r="I233" s="150"/>
      <c r="J233" s="150"/>
      <c r="K233" s="150"/>
      <c r="L233" s="148"/>
      <c r="M233" s="149"/>
    </row>
    <row r="234" spans="1:13" ht="15" customHeight="1">
      <c r="A234" s="199" t="s">
        <v>279</v>
      </c>
      <c r="B234" s="481" t="s">
        <v>355</v>
      </c>
      <c r="C234" s="482"/>
      <c r="D234" s="482"/>
      <c r="E234" s="482"/>
      <c r="F234" s="483"/>
      <c r="G234" s="481" t="s">
        <v>356</v>
      </c>
      <c r="H234" s="483"/>
      <c r="I234" s="493" t="s">
        <v>357</v>
      </c>
      <c r="J234" s="494"/>
      <c r="K234" s="493" t="s">
        <v>358</v>
      </c>
      <c r="L234" s="494"/>
      <c r="M234" s="151" t="s">
        <v>342</v>
      </c>
    </row>
    <row r="235" spans="1:13" ht="15" customHeight="1">
      <c r="A235" s="199"/>
      <c r="B235" s="489" t="s">
        <v>367</v>
      </c>
      <c r="C235" s="490"/>
      <c r="D235" s="490"/>
      <c r="E235" s="490"/>
      <c r="F235" s="491"/>
      <c r="G235" s="481">
        <v>29</v>
      </c>
      <c r="H235" s="483"/>
      <c r="I235" s="497">
        <v>60</v>
      </c>
      <c r="J235" s="498"/>
      <c r="K235" s="500">
        <v>204</v>
      </c>
      <c r="L235" s="501"/>
      <c r="M235" s="152">
        <f>SUM(G235*I235*K235)</f>
        <v>354960</v>
      </c>
    </row>
    <row r="236" spans="1:13" ht="15" customHeight="1">
      <c r="A236" s="153"/>
      <c r="B236" s="484" t="s">
        <v>300</v>
      </c>
      <c r="C236" s="485"/>
      <c r="D236" s="485"/>
      <c r="E236" s="485"/>
      <c r="F236" s="486"/>
      <c r="G236" s="471" t="s">
        <v>34</v>
      </c>
      <c r="H236" s="472"/>
      <c r="I236" s="495" t="s">
        <v>34</v>
      </c>
      <c r="J236" s="472"/>
      <c r="K236" s="497" t="s">
        <v>34</v>
      </c>
      <c r="L236" s="498"/>
      <c r="M236" s="154">
        <f>SUM(M235:N235)</f>
        <v>354960</v>
      </c>
    </row>
    <row r="237" spans="1:13" ht="15" customHeight="1">
      <c r="A237" s="146"/>
      <c r="B237" s="147"/>
      <c r="C237" s="147"/>
      <c r="D237" s="147"/>
      <c r="E237" s="147"/>
      <c r="F237" s="147"/>
      <c r="G237" s="147"/>
      <c r="H237" s="147"/>
      <c r="I237" s="147"/>
      <c r="J237" s="147"/>
      <c r="K237" s="147"/>
      <c r="L237" s="147"/>
      <c r="M237" s="147"/>
    </row>
    <row r="238" spans="1:13" ht="15" customHeight="1">
      <c r="A238" s="148"/>
      <c r="B238" s="148"/>
      <c r="C238" s="148"/>
      <c r="D238" s="149" t="s">
        <v>361</v>
      </c>
      <c r="E238" s="149"/>
      <c r="F238" s="149"/>
      <c r="G238" s="149"/>
      <c r="H238" s="149"/>
      <c r="I238" s="150"/>
      <c r="J238" s="150"/>
      <c r="K238" s="150"/>
      <c r="L238" s="148"/>
      <c r="M238" s="147"/>
    </row>
    <row r="239" spans="1:13" ht="15" customHeight="1">
      <c r="A239" s="150" t="s">
        <v>344</v>
      </c>
      <c r="B239" s="148"/>
      <c r="C239" s="148"/>
      <c r="D239" s="150"/>
      <c r="E239" s="150"/>
      <c r="F239" s="150"/>
      <c r="G239" s="150"/>
      <c r="H239" s="150"/>
      <c r="I239" s="150"/>
      <c r="J239" s="150"/>
      <c r="K239" s="150"/>
      <c r="L239" s="148"/>
      <c r="M239" s="147"/>
    </row>
    <row r="240" spans="1:13" ht="15" customHeight="1">
      <c r="A240" s="155" t="s">
        <v>279</v>
      </c>
      <c r="B240" s="473" t="s">
        <v>355</v>
      </c>
      <c r="C240" s="473"/>
      <c r="D240" s="473"/>
      <c r="E240" s="473"/>
      <c r="F240" s="473"/>
      <c r="G240" s="505" t="s">
        <v>362</v>
      </c>
      <c r="H240" s="505"/>
      <c r="I240" s="505" t="s">
        <v>363</v>
      </c>
      <c r="J240" s="505"/>
      <c r="K240" s="505" t="s">
        <v>342</v>
      </c>
      <c r="L240" s="505"/>
      <c r="M240" s="147"/>
    </row>
    <row r="241" spans="1:13" ht="15" customHeight="1">
      <c r="A241" s="155"/>
      <c r="B241" s="487" t="s">
        <v>364</v>
      </c>
      <c r="C241" s="487"/>
      <c r="D241" s="487"/>
      <c r="E241" s="487"/>
      <c r="F241" s="487"/>
      <c r="G241" s="488">
        <v>1170.32</v>
      </c>
      <c r="H241" s="488"/>
      <c r="I241" s="480">
        <v>12</v>
      </c>
      <c r="J241" s="480"/>
      <c r="K241" s="488">
        <f>G241*I241</f>
        <v>14043.84</v>
      </c>
      <c r="L241" s="488"/>
      <c r="M241" s="147"/>
    </row>
    <row r="242" spans="1:13" ht="15" customHeight="1">
      <c r="A242" s="153"/>
      <c r="B242" s="499" t="s">
        <v>300</v>
      </c>
      <c r="C242" s="499"/>
      <c r="D242" s="499"/>
      <c r="E242" s="499"/>
      <c r="F242" s="499"/>
      <c r="G242" s="495" t="s">
        <v>34</v>
      </c>
      <c r="H242" s="496"/>
      <c r="I242" s="488" t="s">
        <v>34</v>
      </c>
      <c r="J242" s="488"/>
      <c r="K242" s="504">
        <f>SUM(K241:L241)</f>
        <v>14043.84</v>
      </c>
      <c r="L242" s="504"/>
      <c r="M242" s="147"/>
    </row>
    <row r="243" ht="15" customHeight="1"/>
    <row r="244" spans="1:13" ht="15" customHeight="1">
      <c r="A244" s="146"/>
      <c r="B244" s="146"/>
      <c r="C244" s="146" t="s">
        <v>275</v>
      </c>
      <c r="D244" s="146"/>
      <c r="E244" s="146"/>
      <c r="F244" s="146"/>
      <c r="G244" s="146"/>
      <c r="H244" s="146"/>
      <c r="I244" s="146"/>
      <c r="J244" s="146"/>
      <c r="K244" s="146"/>
      <c r="L244" s="146"/>
      <c r="M244" s="146"/>
    </row>
    <row r="245" spans="1:13" ht="15" customHeight="1">
      <c r="A245" s="146" t="s">
        <v>276</v>
      </c>
      <c r="B245" s="146"/>
      <c r="C245" s="146"/>
      <c r="D245" s="146"/>
      <c r="E245" s="146"/>
      <c r="F245" s="146"/>
      <c r="G245" s="146"/>
      <c r="H245" s="146"/>
      <c r="I245" s="146"/>
      <c r="J245" s="146"/>
      <c r="K245" s="146"/>
      <c r="L245" s="146"/>
      <c r="M245" s="146"/>
    </row>
    <row r="246" spans="1:13" ht="15" customHeight="1">
      <c r="A246" s="146" t="s">
        <v>277</v>
      </c>
      <c r="B246" s="146"/>
      <c r="C246" s="146"/>
      <c r="D246" s="146"/>
      <c r="E246" s="146"/>
      <c r="F246" s="146"/>
      <c r="G246" s="146"/>
      <c r="H246" s="146"/>
      <c r="I246" s="146"/>
      <c r="J246" s="146"/>
      <c r="K246" s="146"/>
      <c r="L246" s="146"/>
      <c r="M246" s="146"/>
    </row>
    <row r="247" spans="1:13" ht="15" customHeight="1">
      <c r="A247" s="146"/>
      <c r="B247" s="146"/>
      <c r="C247" s="146" t="s">
        <v>278</v>
      </c>
      <c r="D247" s="146"/>
      <c r="E247" s="146"/>
      <c r="F247" s="146"/>
      <c r="G247" s="146"/>
      <c r="H247" s="146"/>
      <c r="I247" s="146"/>
      <c r="J247" s="146"/>
      <c r="K247" s="146"/>
      <c r="L247" s="146"/>
      <c r="M247" s="146"/>
    </row>
    <row r="248" spans="1:13" ht="30.75" customHeight="1">
      <c r="A248" s="503" t="s">
        <v>279</v>
      </c>
      <c r="B248" s="474" t="s">
        <v>280</v>
      </c>
      <c r="C248" s="474"/>
      <c r="D248" s="474" t="s">
        <v>281</v>
      </c>
      <c r="E248" s="474"/>
      <c r="F248" s="474" t="s">
        <v>282</v>
      </c>
      <c r="G248" s="474"/>
      <c r="H248" s="474"/>
      <c r="I248" s="474"/>
      <c r="J248" s="474" t="s">
        <v>283</v>
      </c>
      <c r="K248" s="474" t="s">
        <v>284</v>
      </c>
      <c r="L248" s="474" t="s">
        <v>285</v>
      </c>
      <c r="M248" s="474"/>
    </row>
    <row r="249" spans="1:13" ht="15" customHeight="1">
      <c r="A249" s="503"/>
      <c r="B249" s="474"/>
      <c r="C249" s="474"/>
      <c r="D249" s="474"/>
      <c r="E249" s="474"/>
      <c r="F249" s="503" t="s">
        <v>286</v>
      </c>
      <c r="G249" s="503" t="s">
        <v>42</v>
      </c>
      <c r="H249" s="503"/>
      <c r="I249" s="503"/>
      <c r="J249" s="474"/>
      <c r="K249" s="474"/>
      <c r="L249" s="474"/>
      <c r="M249" s="474"/>
    </row>
    <row r="250" spans="1:13" ht="64.5" customHeight="1">
      <c r="A250" s="503"/>
      <c r="B250" s="474"/>
      <c r="C250" s="474"/>
      <c r="D250" s="474"/>
      <c r="E250" s="474"/>
      <c r="F250" s="503"/>
      <c r="G250" s="156" t="s">
        <v>287</v>
      </c>
      <c r="H250" s="156" t="s">
        <v>288</v>
      </c>
      <c r="I250" s="156" t="s">
        <v>289</v>
      </c>
      <c r="J250" s="474"/>
      <c r="K250" s="474"/>
      <c r="L250" s="474"/>
      <c r="M250" s="474"/>
    </row>
    <row r="251" spans="1:13" ht="15" customHeight="1">
      <c r="A251" s="157">
        <v>1</v>
      </c>
      <c r="B251" s="447">
        <v>2</v>
      </c>
      <c r="C251" s="447"/>
      <c r="D251" s="447">
        <v>3</v>
      </c>
      <c r="E251" s="447"/>
      <c r="F251" s="157">
        <v>4</v>
      </c>
      <c r="G251" s="157">
        <v>5</v>
      </c>
      <c r="H251" s="157">
        <v>6</v>
      </c>
      <c r="I251" s="157">
        <v>7</v>
      </c>
      <c r="J251" s="157">
        <v>8</v>
      </c>
      <c r="K251" s="157">
        <v>9</v>
      </c>
      <c r="L251" s="447">
        <v>10</v>
      </c>
      <c r="M251" s="447"/>
    </row>
    <row r="252" spans="1:13" ht="15" customHeight="1">
      <c r="A252" s="157">
        <v>1</v>
      </c>
      <c r="B252" s="478" t="s">
        <v>290</v>
      </c>
      <c r="C252" s="479"/>
      <c r="D252" s="478">
        <v>1</v>
      </c>
      <c r="E252" s="479"/>
      <c r="F252" s="207">
        <f>SUM(G252:I252)</f>
        <v>28218.25</v>
      </c>
      <c r="G252" s="207">
        <v>13765</v>
      </c>
      <c r="H252" s="207">
        <f>G252*25%</f>
        <v>3441.25</v>
      </c>
      <c r="I252" s="207">
        <f>G252*80%</f>
        <v>11012</v>
      </c>
      <c r="J252" s="207"/>
      <c r="K252" s="207">
        <v>1.15</v>
      </c>
      <c r="L252" s="460">
        <f>D252*F252*K252*12*0.4186</f>
        <v>163007.80041</v>
      </c>
      <c r="M252" s="462"/>
    </row>
    <row r="253" spans="1:13" ht="15" customHeight="1">
      <c r="A253" s="157">
        <v>2</v>
      </c>
      <c r="B253" s="478" t="s">
        <v>291</v>
      </c>
      <c r="C253" s="479"/>
      <c r="D253" s="478">
        <v>3</v>
      </c>
      <c r="E253" s="479"/>
      <c r="F253" s="207">
        <f aca="true" t="shared" si="3" ref="F253:F259">SUM(G253:I253)</f>
        <v>20476.75</v>
      </c>
      <c r="G253" s="207">
        <v>11701</v>
      </c>
      <c r="H253" s="207">
        <f>G253*25%</f>
        <v>2925.25</v>
      </c>
      <c r="I253" s="207">
        <f>G253*50%</f>
        <v>5850.5</v>
      </c>
      <c r="J253" s="207"/>
      <c r="K253" s="207">
        <v>1.15</v>
      </c>
      <c r="L253" s="460">
        <f>D253*F253*K253*12*0.4186</f>
        <v>354862.89657</v>
      </c>
      <c r="M253" s="462"/>
    </row>
    <row r="254" spans="1:13" ht="15" customHeight="1">
      <c r="A254" s="157">
        <v>3</v>
      </c>
      <c r="B254" s="478" t="s">
        <v>292</v>
      </c>
      <c r="C254" s="479"/>
      <c r="D254" s="478">
        <v>28.65</v>
      </c>
      <c r="E254" s="479"/>
      <c r="F254" s="207">
        <f t="shared" si="3"/>
        <v>30140</v>
      </c>
      <c r="G254" s="207">
        <v>11140</v>
      </c>
      <c r="H254" s="207">
        <f>G254*25%+3920</f>
        <v>6705</v>
      </c>
      <c r="I254" s="207">
        <f>6215.11+5817.39+262.5</f>
        <v>12295</v>
      </c>
      <c r="J254" s="207"/>
      <c r="K254" s="207">
        <v>1.15</v>
      </c>
      <c r="L254" s="460">
        <f>D254*F254*K254*12*0.4186+1698</f>
        <v>4989924.72348</v>
      </c>
      <c r="M254" s="462"/>
    </row>
    <row r="255" spans="1:13" ht="15" customHeight="1">
      <c r="A255" s="157"/>
      <c r="B255" s="478" t="s">
        <v>293</v>
      </c>
      <c r="C255" s="479"/>
      <c r="D255" s="478">
        <v>19.45</v>
      </c>
      <c r="E255" s="479"/>
      <c r="F255" s="207">
        <f t="shared" si="3"/>
        <v>31226</v>
      </c>
      <c r="G255" s="207">
        <v>11200</v>
      </c>
      <c r="H255" s="207">
        <f>G255*25%+3920</f>
        <v>6720</v>
      </c>
      <c r="I255" s="207">
        <f>6487.93+6818.07</f>
        <v>13306</v>
      </c>
      <c r="J255" s="207"/>
      <c r="K255" s="207">
        <v>1.15</v>
      </c>
      <c r="L255" s="460">
        <f>D255*F255*K255*12*0.4186</f>
        <v>3508441.7582759997</v>
      </c>
      <c r="M255" s="462"/>
    </row>
    <row r="256" spans="1:13" ht="15" customHeight="1">
      <c r="A256" s="157"/>
      <c r="B256" s="478" t="s">
        <v>294</v>
      </c>
      <c r="C256" s="479"/>
      <c r="D256" s="478">
        <v>4.65</v>
      </c>
      <c r="E256" s="479"/>
      <c r="F256" s="207">
        <f t="shared" si="3"/>
        <v>26577</v>
      </c>
      <c r="G256" s="207">
        <v>12190</v>
      </c>
      <c r="H256" s="207">
        <f>G256*25%</f>
        <v>3047.5</v>
      </c>
      <c r="I256" s="207">
        <f>5340.74+5998.76</f>
        <v>11339.5</v>
      </c>
      <c r="J256" s="207"/>
      <c r="K256" s="207">
        <v>1.15</v>
      </c>
      <c r="L256" s="460">
        <f>D256*F256*K256*12*0.4186</f>
        <v>713899.733274</v>
      </c>
      <c r="M256" s="462"/>
    </row>
    <row r="257" spans="1:13" ht="15" customHeight="1">
      <c r="A257" s="157">
        <v>4</v>
      </c>
      <c r="B257" s="478" t="s">
        <v>295</v>
      </c>
      <c r="C257" s="479"/>
      <c r="D257" s="478">
        <f>0.5+4</f>
        <v>4.5</v>
      </c>
      <c r="E257" s="479"/>
      <c r="F257" s="207">
        <f t="shared" si="3"/>
        <v>12392</v>
      </c>
      <c r="G257" s="207">
        <v>8429</v>
      </c>
      <c r="H257" s="207">
        <v>336.08</v>
      </c>
      <c r="I257" s="207">
        <f>3973.43-74.51-272</f>
        <v>3626.9199999999996</v>
      </c>
      <c r="J257" s="207"/>
      <c r="K257" s="207">
        <v>1.15</v>
      </c>
      <c r="L257" s="460">
        <f>D257*F257*K257*12*0.4186</f>
        <v>322130.78352</v>
      </c>
      <c r="M257" s="462"/>
    </row>
    <row r="258" spans="1:13" ht="15" customHeight="1">
      <c r="A258" s="157"/>
      <c r="B258" s="478" t="s">
        <v>296</v>
      </c>
      <c r="C258" s="479"/>
      <c r="D258" s="478">
        <v>4</v>
      </c>
      <c r="E258" s="479"/>
      <c r="F258" s="207">
        <f t="shared" si="3"/>
        <v>12392</v>
      </c>
      <c r="G258" s="207">
        <v>8402</v>
      </c>
      <c r="H258" s="207">
        <v>336.08</v>
      </c>
      <c r="I258" s="207">
        <f>3973.43-319.51</f>
        <v>3653.92</v>
      </c>
      <c r="J258" s="207"/>
      <c r="K258" s="207">
        <v>1.15</v>
      </c>
      <c r="L258" s="460">
        <f>D258*F258*K258*12*0.4186</f>
        <v>286338.47423999995</v>
      </c>
      <c r="M258" s="462"/>
    </row>
    <row r="259" spans="1:13" ht="15" customHeight="1">
      <c r="A259" s="157">
        <v>5</v>
      </c>
      <c r="B259" s="478" t="s">
        <v>297</v>
      </c>
      <c r="C259" s="479"/>
      <c r="D259" s="478">
        <v>19.85</v>
      </c>
      <c r="E259" s="479"/>
      <c r="F259" s="207">
        <f t="shared" si="3"/>
        <v>12392</v>
      </c>
      <c r="G259" s="207">
        <v>8391</v>
      </c>
      <c r="H259" s="207">
        <v>2011.84</v>
      </c>
      <c r="I259" s="207">
        <f>3671.16-1682</f>
        <v>1989.1599999999999</v>
      </c>
      <c r="J259" s="207"/>
      <c r="K259" s="207">
        <v>1.15</v>
      </c>
      <c r="L259" s="460">
        <f>D259*F259*K259*12*0.4186</f>
        <v>1420954.6784160002</v>
      </c>
      <c r="M259" s="462"/>
    </row>
    <row r="260" spans="1:13" ht="15" customHeight="1">
      <c r="A260" s="158"/>
      <c r="B260" s="210"/>
      <c r="C260" s="208"/>
      <c r="D260" s="478"/>
      <c r="E260" s="479"/>
      <c r="F260" s="207">
        <f>SUM(G260:I260)</f>
        <v>0</v>
      </c>
      <c r="G260" s="207"/>
      <c r="H260" s="207"/>
      <c r="I260" s="207"/>
      <c r="J260" s="207"/>
      <c r="K260" s="207"/>
      <c r="L260" s="460">
        <f>D260*F260*K260*12</f>
        <v>0</v>
      </c>
      <c r="M260" s="462"/>
    </row>
    <row r="261" spans="1:14" ht="15" customHeight="1">
      <c r="A261" s="478" t="s">
        <v>298</v>
      </c>
      <c r="B261" s="506"/>
      <c r="C261" s="479"/>
      <c r="D261" s="478">
        <f>D252+D253+D254+D257+D259</f>
        <v>57</v>
      </c>
      <c r="E261" s="479"/>
      <c r="F261" s="207" t="s">
        <v>34</v>
      </c>
      <c r="G261" s="207" t="s">
        <v>34</v>
      </c>
      <c r="H261" s="207" t="s">
        <v>34</v>
      </c>
      <c r="I261" s="207" t="s">
        <v>34</v>
      </c>
      <c r="J261" s="206"/>
      <c r="K261" s="206" t="s">
        <v>34</v>
      </c>
      <c r="L261" s="460">
        <f>L252+L253+L254+L257+L259+0.12</f>
        <v>7250881.0023960015</v>
      </c>
      <c r="M261" s="462"/>
      <c r="N261" s="141">
        <v>7250881</v>
      </c>
    </row>
    <row r="262" spans="1:13" ht="15" customHeight="1">
      <c r="A262" s="169"/>
      <c r="B262" s="178"/>
      <c r="C262" s="178"/>
      <c r="D262" s="178"/>
      <c r="E262" s="178"/>
      <c r="F262" s="159"/>
      <c r="G262" s="159"/>
      <c r="H262" s="159"/>
      <c r="I262" s="159"/>
      <c r="J262" s="159"/>
      <c r="K262" s="159"/>
      <c r="L262" s="159"/>
      <c r="M262" s="146"/>
    </row>
    <row r="263" spans="1:13" ht="24" customHeight="1">
      <c r="A263" s="146"/>
      <c r="B263" s="146"/>
      <c r="C263" s="507" t="s">
        <v>301</v>
      </c>
      <c r="D263" s="507"/>
      <c r="E263" s="507"/>
      <c r="F263" s="507"/>
      <c r="G263" s="507"/>
      <c r="H263" s="507"/>
      <c r="I263" s="507"/>
      <c r="J263" s="507"/>
      <c r="K263" s="507"/>
      <c r="L263" s="507"/>
      <c r="M263" s="146"/>
    </row>
    <row r="264" spans="1:13" ht="15" customHeight="1">
      <c r="A264" s="146" t="s">
        <v>302</v>
      </c>
      <c r="B264" s="146"/>
      <c r="C264" s="209"/>
      <c r="D264" s="209"/>
      <c r="E264" s="209"/>
      <c r="F264" s="209"/>
      <c r="G264" s="209"/>
      <c r="H264" s="209"/>
      <c r="I264" s="209"/>
      <c r="J264" s="209"/>
      <c r="K264" s="209"/>
      <c r="L264" s="209"/>
      <c r="M264" s="146"/>
    </row>
    <row r="265" spans="1:13" ht="15" customHeight="1">
      <c r="A265" s="146" t="s">
        <v>277</v>
      </c>
      <c r="B265" s="146"/>
      <c r="C265" s="209"/>
      <c r="D265" s="209"/>
      <c r="E265" s="209"/>
      <c r="F265" s="209"/>
      <c r="G265" s="209"/>
      <c r="H265" s="209"/>
      <c r="I265" s="209"/>
      <c r="J265" s="209"/>
      <c r="K265" s="209"/>
      <c r="L265" s="209"/>
      <c r="M265" s="146"/>
    </row>
    <row r="266" spans="1:13" ht="23.25" customHeight="1">
      <c r="A266" s="157" t="s">
        <v>279</v>
      </c>
      <c r="B266" s="447" t="s">
        <v>303</v>
      </c>
      <c r="C266" s="447"/>
      <c r="D266" s="447"/>
      <c r="E266" s="447"/>
      <c r="F266" s="447"/>
      <c r="G266" s="447"/>
      <c r="H266" s="447"/>
      <c r="I266" s="447"/>
      <c r="J266" s="447"/>
      <c r="K266" s="463" t="s">
        <v>304</v>
      </c>
      <c r="L266" s="465"/>
      <c r="M266" s="165" t="s">
        <v>305</v>
      </c>
    </row>
    <row r="267" spans="1:13" ht="15" customHeight="1">
      <c r="A267" s="166">
        <v>1</v>
      </c>
      <c r="B267" s="444" t="s">
        <v>306</v>
      </c>
      <c r="C267" s="444"/>
      <c r="D267" s="444"/>
      <c r="E267" s="444"/>
      <c r="F267" s="444"/>
      <c r="G267" s="444"/>
      <c r="H267" s="444"/>
      <c r="I267" s="444"/>
      <c r="J267" s="444"/>
      <c r="K267" s="447" t="s">
        <v>34</v>
      </c>
      <c r="L267" s="447"/>
      <c r="M267" s="157"/>
    </row>
    <row r="268" spans="1:13" ht="15" customHeight="1">
      <c r="A268" s="166" t="s">
        <v>173</v>
      </c>
      <c r="B268" s="455" t="s">
        <v>307</v>
      </c>
      <c r="C268" s="456"/>
      <c r="D268" s="456"/>
      <c r="E268" s="456"/>
      <c r="F268" s="456"/>
      <c r="G268" s="456"/>
      <c r="H268" s="456"/>
      <c r="I268" s="456"/>
      <c r="J268" s="457"/>
      <c r="K268" s="460">
        <v>7250881</v>
      </c>
      <c r="L268" s="462"/>
      <c r="M268" s="167">
        <f>K268*22%</f>
        <v>1595193.82</v>
      </c>
    </row>
    <row r="269" spans="1:13" ht="15" customHeight="1">
      <c r="A269" s="166" t="s">
        <v>176</v>
      </c>
      <c r="B269" s="455" t="s">
        <v>308</v>
      </c>
      <c r="C269" s="456"/>
      <c r="D269" s="456"/>
      <c r="E269" s="456"/>
      <c r="F269" s="456"/>
      <c r="G269" s="456"/>
      <c r="H269" s="456"/>
      <c r="I269" s="456"/>
      <c r="J269" s="457"/>
      <c r="K269" s="460"/>
      <c r="L269" s="462"/>
      <c r="M269" s="167">
        <f>K269*22%</f>
        <v>0</v>
      </c>
    </row>
    <row r="270" spans="1:13" ht="25.5" customHeight="1">
      <c r="A270" s="166" t="s">
        <v>179</v>
      </c>
      <c r="B270" s="448" t="s">
        <v>309</v>
      </c>
      <c r="C270" s="449"/>
      <c r="D270" s="449"/>
      <c r="E270" s="449"/>
      <c r="F270" s="449"/>
      <c r="G270" s="449"/>
      <c r="H270" s="449"/>
      <c r="I270" s="449"/>
      <c r="J270" s="450"/>
      <c r="K270" s="460"/>
      <c r="L270" s="462"/>
      <c r="M270" s="167">
        <f>K270*22%</f>
        <v>0</v>
      </c>
    </row>
    <row r="271" spans="1:13" ht="15" customHeight="1">
      <c r="A271" s="166" t="s">
        <v>10</v>
      </c>
      <c r="B271" s="455" t="s">
        <v>310</v>
      </c>
      <c r="C271" s="456"/>
      <c r="D271" s="456"/>
      <c r="E271" s="456"/>
      <c r="F271" s="456"/>
      <c r="G271" s="456"/>
      <c r="H271" s="456"/>
      <c r="I271" s="456"/>
      <c r="J271" s="457"/>
      <c r="K271" s="460" t="s">
        <v>34</v>
      </c>
      <c r="L271" s="462"/>
      <c r="M271" s="167"/>
    </row>
    <row r="272" spans="1:13" ht="23.25" customHeight="1">
      <c r="A272" s="166" t="s">
        <v>311</v>
      </c>
      <c r="B272" s="448" t="s">
        <v>312</v>
      </c>
      <c r="C272" s="449"/>
      <c r="D272" s="449"/>
      <c r="E272" s="449"/>
      <c r="F272" s="449"/>
      <c r="G272" s="449"/>
      <c r="H272" s="449"/>
      <c r="I272" s="449"/>
      <c r="J272" s="450"/>
      <c r="K272" s="460">
        <f>K268</f>
        <v>7250881</v>
      </c>
      <c r="L272" s="462"/>
      <c r="M272" s="167">
        <f>K272*2.9%</f>
        <v>210275.549</v>
      </c>
    </row>
    <row r="273" spans="1:13" ht="15" customHeight="1">
      <c r="A273" s="166" t="s">
        <v>313</v>
      </c>
      <c r="B273" s="455" t="s">
        <v>314</v>
      </c>
      <c r="C273" s="456"/>
      <c r="D273" s="456"/>
      <c r="E273" s="456"/>
      <c r="F273" s="456"/>
      <c r="G273" s="456"/>
      <c r="H273" s="456"/>
      <c r="I273" s="456"/>
      <c r="J273" s="457"/>
      <c r="K273" s="460"/>
      <c r="L273" s="462"/>
      <c r="M273" s="167">
        <f>K273*22%</f>
        <v>0</v>
      </c>
    </row>
    <row r="274" spans="1:13" ht="24" customHeight="1">
      <c r="A274" s="166" t="s">
        <v>315</v>
      </c>
      <c r="B274" s="448" t="s">
        <v>316</v>
      </c>
      <c r="C274" s="449"/>
      <c r="D274" s="449"/>
      <c r="E274" s="449"/>
      <c r="F274" s="449"/>
      <c r="G274" s="449"/>
      <c r="H274" s="449"/>
      <c r="I274" s="449"/>
      <c r="J274" s="450"/>
      <c r="K274" s="460">
        <f>K268</f>
        <v>7250881</v>
      </c>
      <c r="L274" s="462"/>
      <c r="M274" s="167">
        <f>K274*0.2%</f>
        <v>14501.762</v>
      </c>
    </row>
    <row r="275" spans="1:13" ht="15" customHeight="1">
      <c r="A275" s="166" t="s">
        <v>11</v>
      </c>
      <c r="B275" s="459" t="s">
        <v>317</v>
      </c>
      <c r="C275" s="459"/>
      <c r="D275" s="459"/>
      <c r="E275" s="459"/>
      <c r="F275" s="459"/>
      <c r="G275" s="459"/>
      <c r="H275" s="459"/>
      <c r="I275" s="459"/>
      <c r="J275" s="459"/>
      <c r="K275" s="460">
        <f>K268</f>
        <v>7250881</v>
      </c>
      <c r="L275" s="462"/>
      <c r="M275" s="167">
        <f>K275*5.1%-0.06</f>
        <v>369794.871</v>
      </c>
    </row>
    <row r="276" spans="1:13" ht="15" customHeight="1">
      <c r="A276" s="166"/>
      <c r="B276" s="459" t="s">
        <v>318</v>
      </c>
      <c r="C276" s="459"/>
      <c r="D276" s="459"/>
      <c r="E276" s="459"/>
      <c r="F276" s="459"/>
      <c r="G276" s="459"/>
      <c r="H276" s="459"/>
      <c r="I276" s="459"/>
      <c r="J276" s="459"/>
      <c r="K276" s="458" t="s">
        <v>34</v>
      </c>
      <c r="L276" s="458"/>
      <c r="M276" s="168">
        <f>SUM(M268:M275)</f>
        <v>2189766.002</v>
      </c>
    </row>
    <row r="277" spans="1:13" ht="15" customHeight="1">
      <c r="A277" s="146"/>
      <c r="B277" s="146"/>
      <c r="C277" s="146"/>
      <c r="D277" s="146"/>
      <c r="E277" s="146"/>
      <c r="F277" s="146"/>
      <c r="G277" s="146"/>
      <c r="H277" s="146"/>
      <c r="I277" s="146"/>
      <c r="J277" s="146"/>
      <c r="K277" s="146"/>
      <c r="L277" s="146"/>
      <c r="M277" s="146"/>
    </row>
    <row r="278" spans="1:13" ht="15" customHeight="1">
      <c r="A278" s="146"/>
      <c r="B278" s="146"/>
      <c r="C278" s="146" t="s">
        <v>319</v>
      </c>
      <c r="D278" s="146"/>
      <c r="E278" s="146"/>
      <c r="F278" s="146"/>
      <c r="G278" s="146"/>
      <c r="H278" s="146"/>
      <c r="I278" s="146"/>
      <c r="J278" s="146"/>
      <c r="K278" s="146"/>
      <c r="L278" s="146"/>
      <c r="M278" s="146"/>
    </row>
    <row r="279" spans="1:13" ht="15" customHeight="1">
      <c r="A279" s="146" t="s">
        <v>373</v>
      </c>
      <c r="B279" s="146"/>
      <c r="C279" s="146"/>
      <c r="D279" s="146"/>
      <c r="E279" s="146"/>
      <c r="F279" s="146"/>
      <c r="G279" s="146"/>
      <c r="H279" s="146"/>
      <c r="I279" s="146"/>
      <c r="J279" s="146"/>
      <c r="K279" s="146"/>
      <c r="L279" s="146"/>
      <c r="M279" s="146"/>
    </row>
    <row r="280" spans="1:13" ht="15" customHeight="1">
      <c r="A280" s="146" t="s">
        <v>320</v>
      </c>
      <c r="B280" s="146"/>
      <c r="C280" s="146"/>
      <c r="D280" s="146"/>
      <c r="E280" s="146"/>
      <c r="F280" s="146"/>
      <c r="G280" s="146"/>
      <c r="H280" s="146"/>
      <c r="I280" s="146"/>
      <c r="J280" s="146"/>
      <c r="K280" s="146"/>
      <c r="L280" s="146"/>
      <c r="M280" s="146"/>
    </row>
    <row r="281" spans="1:13" ht="25.5" customHeight="1">
      <c r="A281" s="157" t="s">
        <v>279</v>
      </c>
      <c r="B281" s="459" t="s">
        <v>299</v>
      </c>
      <c r="C281" s="459"/>
      <c r="D281" s="459"/>
      <c r="E281" s="459"/>
      <c r="F281" s="459" t="s">
        <v>321</v>
      </c>
      <c r="G281" s="459"/>
      <c r="H281" s="459" t="s">
        <v>322</v>
      </c>
      <c r="I281" s="459"/>
      <c r="J281" s="463" t="s">
        <v>323</v>
      </c>
      <c r="K281" s="464"/>
      <c r="L281" s="465"/>
      <c r="M281" s="146"/>
    </row>
    <row r="282" spans="1:13" ht="15" customHeight="1">
      <c r="A282" s="157"/>
      <c r="B282" s="444" t="s">
        <v>324</v>
      </c>
      <c r="C282" s="444"/>
      <c r="D282" s="444"/>
      <c r="E282" s="444"/>
      <c r="F282" s="447">
        <v>104</v>
      </c>
      <c r="G282" s="447"/>
      <c r="H282" s="458">
        <v>4</v>
      </c>
      <c r="I282" s="458"/>
      <c r="J282" s="460">
        <v>520</v>
      </c>
      <c r="K282" s="475"/>
      <c r="L282" s="462"/>
      <c r="M282" s="146"/>
    </row>
    <row r="283" spans="1:13" ht="15" customHeight="1">
      <c r="A283" s="157"/>
      <c r="B283" s="447" t="s">
        <v>298</v>
      </c>
      <c r="C283" s="447"/>
      <c r="D283" s="447"/>
      <c r="E283" s="447"/>
      <c r="F283" s="447" t="s">
        <v>34</v>
      </c>
      <c r="G283" s="447"/>
      <c r="H283" s="458" t="s">
        <v>34</v>
      </c>
      <c r="I283" s="458"/>
      <c r="J283" s="458">
        <f>J282</f>
        <v>520</v>
      </c>
      <c r="K283" s="458"/>
      <c r="L283" s="458"/>
      <c r="M283" s="146"/>
    </row>
    <row r="284" spans="1:13" ht="15" customHeight="1">
      <c r="A284" s="169"/>
      <c r="B284" s="159"/>
      <c r="C284" s="159"/>
      <c r="D284" s="159"/>
      <c r="E284" s="159"/>
      <c r="F284" s="159"/>
      <c r="G284" s="159"/>
      <c r="H284" s="159"/>
      <c r="I284" s="159"/>
      <c r="J284" s="159"/>
      <c r="K284" s="159"/>
      <c r="L284" s="159"/>
      <c r="M284" s="146"/>
    </row>
    <row r="285" spans="1:13" ht="15" customHeight="1">
      <c r="A285" s="146" t="s">
        <v>374</v>
      </c>
      <c r="B285" s="146"/>
      <c r="C285" s="146"/>
      <c r="D285" s="146"/>
      <c r="E285" s="146"/>
      <c r="F285" s="146"/>
      <c r="G285" s="146"/>
      <c r="H285" s="146"/>
      <c r="I285" s="146"/>
      <c r="J285" s="146"/>
      <c r="K285" s="146"/>
      <c r="L285" s="146"/>
      <c r="M285" s="146"/>
    </row>
    <row r="286" spans="1:13" ht="24.75" customHeight="1">
      <c r="A286" s="146" t="s">
        <v>320</v>
      </c>
      <c r="B286" s="146"/>
      <c r="C286" s="146"/>
      <c r="D286" s="146"/>
      <c r="E286" s="146"/>
      <c r="F286" s="146"/>
      <c r="G286" s="146"/>
      <c r="H286" s="146"/>
      <c r="I286" s="146"/>
      <c r="J286" s="146"/>
      <c r="K286" s="146"/>
      <c r="L286" s="146"/>
      <c r="M286" s="146"/>
    </row>
    <row r="287" spans="1:13" ht="27" customHeight="1">
      <c r="A287" s="157" t="s">
        <v>279</v>
      </c>
      <c r="B287" s="459" t="s">
        <v>299</v>
      </c>
      <c r="C287" s="459"/>
      <c r="D287" s="459"/>
      <c r="E287" s="459"/>
      <c r="F287" s="459" t="s">
        <v>375</v>
      </c>
      <c r="G287" s="459"/>
      <c r="H287" s="459" t="s">
        <v>376</v>
      </c>
      <c r="I287" s="459"/>
      <c r="J287" s="463" t="s">
        <v>323</v>
      </c>
      <c r="K287" s="464"/>
      <c r="L287" s="465"/>
      <c r="M287" s="146"/>
    </row>
    <row r="288" spans="1:13" ht="15" customHeight="1">
      <c r="A288" s="157"/>
      <c r="B288" s="455" t="s">
        <v>325</v>
      </c>
      <c r="C288" s="456"/>
      <c r="D288" s="456"/>
      <c r="E288" s="457"/>
      <c r="F288" s="458">
        <f>2952311.2*1.5</f>
        <v>4428466.800000001</v>
      </c>
      <c r="G288" s="458"/>
      <c r="H288" s="458">
        <v>0.01</v>
      </c>
      <c r="I288" s="458"/>
      <c r="J288" s="460">
        <v>44285</v>
      </c>
      <c r="K288" s="475"/>
      <c r="L288" s="462"/>
      <c r="M288" s="146"/>
    </row>
    <row r="289" spans="1:13" ht="15" customHeight="1">
      <c r="A289" s="157"/>
      <c r="B289" s="447" t="s">
        <v>298</v>
      </c>
      <c r="C289" s="447"/>
      <c r="D289" s="447"/>
      <c r="E289" s="447"/>
      <c r="F289" s="447" t="s">
        <v>34</v>
      </c>
      <c r="G289" s="447"/>
      <c r="H289" s="458" t="s">
        <v>34</v>
      </c>
      <c r="I289" s="458"/>
      <c r="J289" s="458">
        <f>J288</f>
        <v>44285</v>
      </c>
      <c r="K289" s="458"/>
      <c r="L289" s="458"/>
      <c r="M289" s="146"/>
    </row>
    <row r="290" spans="1:13" ht="15" customHeight="1">
      <c r="A290" s="169"/>
      <c r="B290" s="159"/>
      <c r="C290" s="159"/>
      <c r="D290" s="159"/>
      <c r="E290" s="159"/>
      <c r="F290" s="159"/>
      <c r="G290" s="159"/>
      <c r="H290" s="160"/>
      <c r="I290" s="160"/>
      <c r="J290" s="160"/>
      <c r="K290" s="160"/>
      <c r="L290" s="160"/>
      <c r="M290" s="146"/>
    </row>
    <row r="291" spans="1:13" ht="15" customHeight="1">
      <c r="A291" s="146"/>
      <c r="B291" s="146"/>
      <c r="C291" s="146" t="s">
        <v>326</v>
      </c>
      <c r="D291" s="146"/>
      <c r="E291" s="146"/>
      <c r="F291" s="146"/>
      <c r="G291" s="146"/>
      <c r="H291" s="146"/>
      <c r="I291" s="146"/>
      <c r="J291" s="146"/>
      <c r="K291" s="146"/>
      <c r="L291" s="146"/>
      <c r="M291" s="146"/>
    </row>
    <row r="292" spans="1:13" ht="15" customHeight="1">
      <c r="A292" s="146" t="s">
        <v>480</v>
      </c>
      <c r="B292" s="146"/>
      <c r="C292" s="146"/>
      <c r="D292" s="146"/>
      <c r="E292" s="146"/>
      <c r="F292" s="146"/>
      <c r="G292" s="146"/>
      <c r="H292" s="146"/>
      <c r="I292" s="146"/>
      <c r="J292" s="146"/>
      <c r="K292" s="146"/>
      <c r="L292" s="146"/>
      <c r="M292" s="146"/>
    </row>
    <row r="293" spans="1:13" ht="15" customHeight="1">
      <c r="A293" s="146"/>
      <c r="B293" s="146"/>
      <c r="C293" s="146"/>
      <c r="D293" s="146"/>
      <c r="E293" s="146"/>
      <c r="F293" s="146"/>
      <c r="G293" s="146"/>
      <c r="H293" s="146"/>
      <c r="I293" s="146"/>
      <c r="J293" s="146"/>
      <c r="K293" s="146"/>
      <c r="L293" s="146"/>
      <c r="M293" s="146"/>
    </row>
    <row r="294" spans="1:13" ht="15" customHeight="1">
      <c r="A294" s="146"/>
      <c r="B294" s="146"/>
      <c r="C294" s="146" t="s">
        <v>377</v>
      </c>
      <c r="D294" s="146"/>
      <c r="E294" s="146"/>
      <c r="F294" s="146"/>
      <c r="G294" s="146"/>
      <c r="H294" s="146"/>
      <c r="I294" s="146"/>
      <c r="J294" s="146"/>
      <c r="K294" s="146"/>
      <c r="L294" s="146"/>
      <c r="M294" s="146"/>
    </row>
    <row r="295" spans="1:13" ht="15" customHeight="1">
      <c r="A295" s="146" t="s">
        <v>320</v>
      </c>
      <c r="B295" s="146"/>
      <c r="C295" s="146"/>
      <c r="D295" s="146"/>
      <c r="E295" s="146"/>
      <c r="F295" s="146"/>
      <c r="G295" s="146"/>
      <c r="H295" s="146"/>
      <c r="I295" s="146"/>
      <c r="J295" s="146"/>
      <c r="K295" s="146"/>
      <c r="L295" s="146"/>
      <c r="M295" s="146"/>
    </row>
    <row r="296" spans="1:14" ht="33.75" customHeight="1">
      <c r="A296" s="157" t="s">
        <v>279</v>
      </c>
      <c r="B296" s="447" t="s">
        <v>299</v>
      </c>
      <c r="C296" s="447"/>
      <c r="D296" s="447"/>
      <c r="E296" s="447"/>
      <c r="F296" s="447"/>
      <c r="G296" s="165" t="s">
        <v>327</v>
      </c>
      <c r="H296" s="463" t="s">
        <v>328</v>
      </c>
      <c r="I296" s="465"/>
      <c r="J296" s="463" t="s">
        <v>329</v>
      </c>
      <c r="K296" s="465"/>
      <c r="L296" s="463" t="s">
        <v>330</v>
      </c>
      <c r="M296" s="464"/>
      <c r="N296" s="170"/>
    </row>
    <row r="297" spans="1:14" ht="15" customHeight="1">
      <c r="A297" s="157"/>
      <c r="B297" s="444" t="s">
        <v>331</v>
      </c>
      <c r="C297" s="444"/>
      <c r="D297" s="444"/>
      <c r="E297" s="444"/>
      <c r="F297" s="444"/>
      <c r="G297" s="157">
        <v>1</v>
      </c>
      <c r="H297" s="447">
        <v>7</v>
      </c>
      <c r="I297" s="447"/>
      <c r="J297" s="458">
        <v>1259.66</v>
      </c>
      <c r="K297" s="458"/>
      <c r="L297" s="458">
        <v>8500</v>
      </c>
      <c r="M297" s="460"/>
      <c r="N297" s="171"/>
    </row>
    <row r="298" spans="1:14" ht="15" customHeight="1">
      <c r="A298" s="157"/>
      <c r="B298" s="444" t="s">
        <v>398</v>
      </c>
      <c r="C298" s="444"/>
      <c r="D298" s="444"/>
      <c r="E298" s="444"/>
      <c r="F298" s="444"/>
      <c r="G298" s="157">
        <v>1</v>
      </c>
      <c r="H298" s="447">
        <v>2</v>
      </c>
      <c r="I298" s="447"/>
      <c r="J298" s="458">
        <v>3900</v>
      </c>
      <c r="K298" s="458"/>
      <c r="L298" s="458">
        <v>7800</v>
      </c>
      <c r="M298" s="460"/>
      <c r="N298" s="170"/>
    </row>
    <row r="299" spans="1:13" ht="15" customHeight="1">
      <c r="A299" s="157"/>
      <c r="B299" s="447" t="s">
        <v>300</v>
      </c>
      <c r="C299" s="447"/>
      <c r="D299" s="447"/>
      <c r="E299" s="447"/>
      <c r="F299" s="447"/>
      <c r="G299" s="206" t="s">
        <v>34</v>
      </c>
      <c r="H299" s="447" t="s">
        <v>34</v>
      </c>
      <c r="I299" s="447"/>
      <c r="J299" s="458" t="s">
        <v>34</v>
      </c>
      <c r="K299" s="458"/>
      <c r="L299" s="458">
        <f>L297+L298</f>
        <v>16300</v>
      </c>
      <c r="M299" s="460"/>
    </row>
    <row r="300" spans="1:13" ht="15" customHeight="1">
      <c r="A300" s="146"/>
      <c r="B300" s="146"/>
      <c r="C300" s="146"/>
      <c r="D300" s="146"/>
      <c r="E300" s="146"/>
      <c r="F300" s="146"/>
      <c r="G300" s="146"/>
      <c r="H300" s="146"/>
      <c r="I300" s="146"/>
      <c r="J300" s="146"/>
      <c r="K300" s="146"/>
      <c r="L300" s="146"/>
      <c r="M300" s="146"/>
    </row>
    <row r="301" spans="1:13" ht="15" customHeight="1">
      <c r="A301" s="146"/>
      <c r="B301" s="146"/>
      <c r="C301" s="146" t="s">
        <v>378</v>
      </c>
      <c r="D301" s="146"/>
      <c r="E301" s="146"/>
      <c r="F301" s="146"/>
      <c r="G301" s="146"/>
      <c r="H301" s="146"/>
      <c r="I301" s="146"/>
      <c r="J301" s="146"/>
      <c r="K301" s="146"/>
      <c r="L301" s="146"/>
      <c r="M301" s="146"/>
    </row>
    <row r="302" spans="1:13" ht="15" customHeight="1">
      <c r="A302" s="146" t="s">
        <v>320</v>
      </c>
      <c r="B302" s="146"/>
      <c r="C302" s="146"/>
      <c r="D302" s="146"/>
      <c r="E302" s="146"/>
      <c r="F302" s="146"/>
      <c r="G302" s="146"/>
      <c r="H302" s="146"/>
      <c r="I302" s="146"/>
      <c r="J302" s="146"/>
      <c r="K302" s="146"/>
      <c r="L302" s="146"/>
      <c r="M302" s="146"/>
    </row>
    <row r="303" spans="1:13" ht="24" customHeight="1">
      <c r="A303" s="157" t="s">
        <v>279</v>
      </c>
      <c r="B303" s="447" t="s">
        <v>0</v>
      </c>
      <c r="C303" s="447"/>
      <c r="D303" s="447"/>
      <c r="E303" s="447"/>
      <c r="F303" s="459" t="s">
        <v>379</v>
      </c>
      <c r="G303" s="459"/>
      <c r="H303" s="459" t="s">
        <v>332</v>
      </c>
      <c r="I303" s="459"/>
      <c r="J303" s="447" t="s">
        <v>333</v>
      </c>
      <c r="K303" s="447"/>
      <c r="L303" s="459" t="s">
        <v>334</v>
      </c>
      <c r="M303" s="459"/>
    </row>
    <row r="304" spans="1:13" ht="15" customHeight="1">
      <c r="A304" s="157"/>
      <c r="B304" s="444" t="s">
        <v>380</v>
      </c>
      <c r="C304" s="444"/>
      <c r="D304" s="444"/>
      <c r="E304" s="444"/>
      <c r="F304" s="458">
        <f>L304/H304</f>
        <v>54410.96153846154</v>
      </c>
      <c r="G304" s="458"/>
      <c r="H304" s="458">
        <v>5.2</v>
      </c>
      <c r="I304" s="458"/>
      <c r="J304" s="458"/>
      <c r="K304" s="458"/>
      <c r="L304" s="460">
        <v>282937</v>
      </c>
      <c r="M304" s="461"/>
    </row>
    <row r="305" spans="1:13" ht="15" customHeight="1">
      <c r="A305" s="157"/>
      <c r="B305" s="444" t="s">
        <v>381</v>
      </c>
      <c r="C305" s="444"/>
      <c r="D305" s="444"/>
      <c r="E305" s="444"/>
      <c r="F305" s="458">
        <f>L305/H305</f>
        <v>515.5550130855129</v>
      </c>
      <c r="G305" s="458"/>
      <c r="H305" s="458">
        <v>1761.49</v>
      </c>
      <c r="I305" s="458"/>
      <c r="J305" s="458"/>
      <c r="K305" s="458"/>
      <c r="L305" s="460">
        <v>908145</v>
      </c>
      <c r="M305" s="461"/>
    </row>
    <row r="306" spans="1:13" ht="15" customHeight="1">
      <c r="A306" s="157"/>
      <c r="B306" s="447" t="s">
        <v>300</v>
      </c>
      <c r="C306" s="447"/>
      <c r="D306" s="447"/>
      <c r="E306" s="447"/>
      <c r="F306" s="458" t="s">
        <v>34</v>
      </c>
      <c r="G306" s="458"/>
      <c r="H306" s="458" t="s">
        <v>34</v>
      </c>
      <c r="I306" s="458"/>
      <c r="J306" s="458" t="s">
        <v>34</v>
      </c>
      <c r="K306" s="458"/>
      <c r="L306" s="458">
        <f>SUM(L304:M305)</f>
        <v>1191082</v>
      </c>
      <c r="M306" s="458"/>
    </row>
    <row r="307" spans="1:13" ht="15" customHeight="1">
      <c r="A307" s="146"/>
      <c r="B307" s="146"/>
      <c r="C307" s="146"/>
      <c r="D307" s="146"/>
      <c r="E307" s="146"/>
      <c r="F307" s="146"/>
      <c r="G307" s="146"/>
      <c r="H307" s="146"/>
      <c r="I307" s="146"/>
      <c r="J307" s="146"/>
      <c r="K307" s="146"/>
      <c r="L307" s="146"/>
      <c r="M307" s="146"/>
    </row>
    <row r="308" spans="1:13" ht="15" customHeight="1">
      <c r="A308" s="146"/>
      <c r="B308" s="146"/>
      <c r="C308" s="146" t="s">
        <v>378</v>
      </c>
      <c r="D308" s="146"/>
      <c r="E308" s="146"/>
      <c r="F308" s="146"/>
      <c r="G308" s="146"/>
      <c r="H308" s="146"/>
      <c r="I308" s="146"/>
      <c r="J308" s="146"/>
      <c r="K308" s="146"/>
      <c r="L308" s="146"/>
      <c r="M308" s="146"/>
    </row>
    <row r="309" spans="1:13" ht="15" customHeight="1">
      <c r="A309" s="146" t="s">
        <v>320</v>
      </c>
      <c r="B309" s="146"/>
      <c r="C309" s="146"/>
      <c r="D309" s="146"/>
      <c r="E309" s="146"/>
      <c r="F309" s="146"/>
      <c r="G309" s="146"/>
      <c r="H309" s="146"/>
      <c r="I309" s="146"/>
      <c r="J309" s="146"/>
      <c r="K309" s="146"/>
      <c r="L309" s="146"/>
      <c r="M309" s="146"/>
    </row>
    <row r="310" spans="1:13" ht="24" customHeight="1">
      <c r="A310" s="157" t="s">
        <v>279</v>
      </c>
      <c r="B310" s="447" t="s">
        <v>0</v>
      </c>
      <c r="C310" s="447"/>
      <c r="D310" s="447"/>
      <c r="E310" s="447"/>
      <c r="F310" s="459" t="s">
        <v>379</v>
      </c>
      <c r="G310" s="459"/>
      <c r="H310" s="459" t="s">
        <v>332</v>
      </c>
      <c r="I310" s="459"/>
      <c r="J310" s="447" t="s">
        <v>333</v>
      </c>
      <c r="K310" s="447"/>
      <c r="L310" s="459" t="s">
        <v>334</v>
      </c>
      <c r="M310" s="459"/>
    </row>
    <row r="311" spans="1:13" ht="15" customHeight="1">
      <c r="A311" s="157"/>
      <c r="B311" s="444" t="s">
        <v>382</v>
      </c>
      <c r="C311" s="444"/>
      <c r="D311" s="444"/>
      <c r="E311" s="444"/>
      <c r="F311" s="458">
        <f>L311/H311</f>
        <v>1503.7568306010928</v>
      </c>
      <c r="G311" s="458"/>
      <c r="H311" s="458">
        <v>29.28</v>
      </c>
      <c r="I311" s="458"/>
      <c r="J311" s="458"/>
      <c r="K311" s="458"/>
      <c r="L311" s="460">
        <v>44030</v>
      </c>
      <c r="M311" s="461"/>
    </row>
    <row r="312" spans="1:13" ht="15" customHeight="1">
      <c r="A312" s="157"/>
      <c r="B312" s="455" t="s">
        <v>383</v>
      </c>
      <c r="C312" s="456"/>
      <c r="D312" s="456"/>
      <c r="E312" s="457"/>
      <c r="F312" s="458">
        <f>L312/H312</f>
        <v>93.34296028880867</v>
      </c>
      <c r="G312" s="458"/>
      <c r="H312" s="458">
        <v>69.25</v>
      </c>
      <c r="I312" s="458"/>
      <c r="J312" s="458"/>
      <c r="K312" s="458"/>
      <c r="L312" s="460">
        <v>6464</v>
      </c>
      <c r="M312" s="461"/>
    </row>
    <row r="313" spans="1:13" ht="15" customHeight="1">
      <c r="A313" s="157"/>
      <c r="B313" s="455" t="s">
        <v>384</v>
      </c>
      <c r="C313" s="456"/>
      <c r="D313" s="456"/>
      <c r="E313" s="457"/>
      <c r="F313" s="460">
        <f>L313/H313</f>
        <v>3.177744944615896</v>
      </c>
      <c r="G313" s="462"/>
      <c r="H313" s="460">
        <v>5719.15</v>
      </c>
      <c r="I313" s="462"/>
      <c r="J313" s="460"/>
      <c r="K313" s="462"/>
      <c r="L313" s="460">
        <v>18174</v>
      </c>
      <c r="M313" s="462"/>
    </row>
    <row r="314" spans="1:13" ht="15" customHeight="1">
      <c r="A314" s="157"/>
      <c r="B314" s="447" t="s">
        <v>300</v>
      </c>
      <c r="C314" s="447"/>
      <c r="D314" s="447"/>
      <c r="E314" s="447"/>
      <c r="F314" s="458" t="s">
        <v>34</v>
      </c>
      <c r="G314" s="458"/>
      <c r="H314" s="458" t="s">
        <v>34</v>
      </c>
      <c r="I314" s="458"/>
      <c r="J314" s="458" t="s">
        <v>34</v>
      </c>
      <c r="K314" s="458"/>
      <c r="L314" s="458">
        <f>SUM(L311:M313)</f>
        <v>68668</v>
      </c>
      <c r="M314" s="458"/>
    </row>
    <row r="315" spans="1:13" ht="15" customHeight="1">
      <c r="A315" s="146"/>
      <c r="B315" s="146"/>
      <c r="C315" s="146"/>
      <c r="D315" s="146"/>
      <c r="E315" s="146"/>
      <c r="F315" s="146"/>
      <c r="G315" s="146"/>
      <c r="H315" s="146"/>
      <c r="I315" s="146"/>
      <c r="J315" s="146"/>
      <c r="K315" s="146"/>
      <c r="L315" s="146"/>
      <c r="M315" s="146"/>
    </row>
    <row r="316" spans="1:13" ht="15" customHeight="1">
      <c r="A316" s="146"/>
      <c r="B316" s="146"/>
      <c r="C316" s="146" t="s">
        <v>385</v>
      </c>
      <c r="D316" s="146"/>
      <c r="E316" s="146"/>
      <c r="F316" s="146"/>
      <c r="G316" s="146"/>
      <c r="H316" s="146"/>
      <c r="I316" s="146"/>
      <c r="J316" s="146"/>
      <c r="K316" s="146"/>
      <c r="L316" s="146"/>
      <c r="M316" s="146"/>
    </row>
    <row r="317" spans="1:13" ht="15" customHeight="1">
      <c r="A317" s="146" t="s">
        <v>320</v>
      </c>
      <c r="B317" s="146"/>
      <c r="C317" s="146"/>
      <c r="D317" s="146"/>
      <c r="E317" s="146"/>
      <c r="F317" s="146"/>
      <c r="G317" s="146"/>
      <c r="H317" s="146"/>
      <c r="I317" s="146"/>
      <c r="J317" s="146"/>
      <c r="K317" s="146"/>
      <c r="L317" s="146"/>
      <c r="M317" s="146"/>
    </row>
    <row r="318" spans="1:13" ht="23.25" customHeight="1">
      <c r="A318" s="157" t="s">
        <v>279</v>
      </c>
      <c r="B318" s="447" t="s">
        <v>299</v>
      </c>
      <c r="C318" s="447"/>
      <c r="D318" s="447"/>
      <c r="E318" s="447"/>
      <c r="F318" s="447"/>
      <c r="G318" s="447" t="s">
        <v>386</v>
      </c>
      <c r="H318" s="447"/>
      <c r="I318" s="459" t="s">
        <v>335</v>
      </c>
      <c r="J318" s="459"/>
      <c r="K318" s="459" t="s">
        <v>336</v>
      </c>
      <c r="L318" s="459"/>
      <c r="M318" s="146"/>
    </row>
    <row r="319" spans="1:13" ht="15" customHeight="1">
      <c r="A319" s="157"/>
      <c r="B319" s="444" t="s">
        <v>337</v>
      </c>
      <c r="C319" s="444"/>
      <c r="D319" s="444"/>
      <c r="E319" s="444"/>
      <c r="F319" s="444"/>
      <c r="G319" s="447">
        <f>K319/I319</f>
        <v>300</v>
      </c>
      <c r="H319" s="447"/>
      <c r="I319" s="458">
        <v>6</v>
      </c>
      <c r="J319" s="458"/>
      <c r="K319" s="458">
        <v>1800</v>
      </c>
      <c r="L319" s="458"/>
      <c r="M319" s="146"/>
    </row>
    <row r="320" spans="1:13" ht="15" customHeight="1">
      <c r="A320" s="157"/>
      <c r="B320" s="444" t="s">
        <v>338</v>
      </c>
      <c r="C320" s="444"/>
      <c r="D320" s="444"/>
      <c r="E320" s="444"/>
      <c r="F320" s="444"/>
      <c r="G320" s="447">
        <v>2968</v>
      </c>
      <c r="H320" s="447"/>
      <c r="I320" s="458">
        <v>1</v>
      </c>
      <c r="J320" s="458"/>
      <c r="K320" s="458">
        <v>3500</v>
      </c>
      <c r="L320" s="458"/>
      <c r="M320" s="146"/>
    </row>
    <row r="321" spans="1:13" ht="15" customHeight="1">
      <c r="A321" s="157"/>
      <c r="B321" s="444" t="s">
        <v>387</v>
      </c>
      <c r="C321" s="444"/>
      <c r="D321" s="444"/>
      <c r="E321" s="444"/>
      <c r="F321" s="444"/>
      <c r="G321" s="445">
        <f>K321/I321</f>
        <v>500</v>
      </c>
      <c r="H321" s="445"/>
      <c r="I321" s="458">
        <v>6</v>
      </c>
      <c r="J321" s="458"/>
      <c r="K321" s="458">
        <v>3000</v>
      </c>
      <c r="L321" s="458"/>
      <c r="M321" s="146"/>
    </row>
    <row r="322" spans="1:12" ht="15" customHeight="1">
      <c r="A322" s="157"/>
      <c r="B322" s="444" t="s">
        <v>352</v>
      </c>
      <c r="C322" s="444"/>
      <c r="D322" s="444"/>
      <c r="E322" s="444"/>
      <c r="F322" s="444"/>
      <c r="G322" s="447">
        <f>K322/I322</f>
        <v>5000</v>
      </c>
      <c r="H322" s="447"/>
      <c r="I322" s="458">
        <v>1</v>
      </c>
      <c r="J322" s="458"/>
      <c r="K322" s="458">
        <v>5000</v>
      </c>
      <c r="L322" s="458"/>
    </row>
    <row r="323" spans="1:12" ht="22.5" customHeight="1">
      <c r="A323" s="157"/>
      <c r="B323" s="448" t="s">
        <v>390</v>
      </c>
      <c r="C323" s="449"/>
      <c r="D323" s="449"/>
      <c r="E323" s="449"/>
      <c r="F323" s="450"/>
      <c r="G323" s="447">
        <v>1500</v>
      </c>
      <c r="H323" s="447"/>
      <c r="I323" s="446">
        <f>K323/G323</f>
        <v>1</v>
      </c>
      <c r="J323" s="446"/>
      <c r="K323" s="446">
        <v>1500</v>
      </c>
      <c r="L323" s="446"/>
    </row>
    <row r="324" spans="1:12" ht="15" customHeight="1">
      <c r="A324" s="157"/>
      <c r="B324" s="447" t="s">
        <v>300</v>
      </c>
      <c r="C324" s="447"/>
      <c r="D324" s="447"/>
      <c r="E324" s="447"/>
      <c r="F324" s="447"/>
      <c r="G324" s="447" t="s">
        <v>34</v>
      </c>
      <c r="H324" s="447"/>
      <c r="I324" s="458" t="s">
        <v>34</v>
      </c>
      <c r="J324" s="458"/>
      <c r="K324" s="458">
        <f>SUM(K319:K323)</f>
        <v>14800</v>
      </c>
      <c r="L324" s="458"/>
    </row>
    <row r="325" ht="15" customHeight="1"/>
    <row r="326" spans="1:12" ht="15" customHeight="1">
      <c r="A326" s="146"/>
      <c r="B326" s="146"/>
      <c r="C326" s="146" t="s">
        <v>388</v>
      </c>
      <c r="D326" s="146"/>
      <c r="E326" s="146"/>
      <c r="F326" s="146"/>
      <c r="G326" s="146"/>
      <c r="H326" s="146"/>
      <c r="I326" s="146"/>
      <c r="J326" s="146"/>
      <c r="K326" s="146"/>
      <c r="L326" s="146"/>
    </row>
    <row r="327" spans="1:12" ht="15.75" customHeight="1">
      <c r="A327" s="146" t="s">
        <v>320</v>
      </c>
      <c r="B327" s="146"/>
      <c r="C327" s="146"/>
      <c r="D327" s="146"/>
      <c r="E327" s="146"/>
      <c r="F327" s="146"/>
      <c r="G327" s="146"/>
      <c r="H327" s="146"/>
      <c r="I327" s="146"/>
      <c r="J327" s="146"/>
      <c r="K327" s="146"/>
      <c r="L327" s="146"/>
    </row>
    <row r="328" spans="1:12" ht="15" customHeight="1">
      <c r="A328" s="157" t="s">
        <v>279</v>
      </c>
      <c r="B328" s="447" t="s">
        <v>299</v>
      </c>
      <c r="C328" s="447"/>
      <c r="D328" s="447"/>
      <c r="E328" s="447"/>
      <c r="F328" s="447"/>
      <c r="G328" s="447" t="s">
        <v>340</v>
      </c>
      <c r="H328" s="447"/>
      <c r="I328" s="459" t="s">
        <v>341</v>
      </c>
      <c r="J328" s="459"/>
      <c r="K328" s="459" t="s">
        <v>342</v>
      </c>
      <c r="L328" s="459"/>
    </row>
    <row r="329" spans="1:12" ht="15" customHeight="1">
      <c r="A329" s="157"/>
      <c r="B329" s="455" t="s">
        <v>397</v>
      </c>
      <c r="C329" s="456"/>
      <c r="D329" s="456"/>
      <c r="E329" s="456"/>
      <c r="F329" s="457"/>
      <c r="G329" s="447">
        <v>6</v>
      </c>
      <c r="H329" s="447"/>
      <c r="I329" s="458">
        <v>1168</v>
      </c>
      <c r="J329" s="458"/>
      <c r="K329" s="458">
        <v>7008</v>
      </c>
      <c r="L329" s="458"/>
    </row>
    <row r="330" spans="1:12" ht="15" customHeight="1">
      <c r="A330" s="157"/>
      <c r="B330" s="444" t="s">
        <v>343</v>
      </c>
      <c r="C330" s="444"/>
      <c r="D330" s="444"/>
      <c r="E330" s="444"/>
      <c r="F330" s="444"/>
      <c r="G330" s="447">
        <v>2</v>
      </c>
      <c r="H330" s="447"/>
      <c r="I330" s="458">
        <f>K330/G330</f>
        <v>2678</v>
      </c>
      <c r="J330" s="458"/>
      <c r="K330" s="458">
        <v>5356</v>
      </c>
      <c r="L330" s="458"/>
    </row>
    <row r="331" spans="1:12" ht="15" customHeight="1">
      <c r="A331" s="173"/>
      <c r="B331" s="447" t="s">
        <v>300</v>
      </c>
      <c r="C331" s="447"/>
      <c r="D331" s="447"/>
      <c r="E331" s="447"/>
      <c r="F331" s="447"/>
      <c r="G331" s="451" t="s">
        <v>34</v>
      </c>
      <c r="H331" s="452"/>
      <c r="I331" s="453" t="s">
        <v>34</v>
      </c>
      <c r="J331" s="454"/>
      <c r="K331" s="458">
        <f>SUM(K329:L330)</f>
        <v>12364</v>
      </c>
      <c r="L331" s="458"/>
    </row>
    <row r="332" spans="1:12" ht="15" customHeight="1">
      <c r="A332" s="170"/>
      <c r="B332" s="159"/>
      <c r="C332" s="159"/>
      <c r="D332" s="159"/>
      <c r="E332" s="159"/>
      <c r="F332" s="159"/>
      <c r="G332" s="174"/>
      <c r="H332" s="174"/>
      <c r="I332" s="175"/>
      <c r="J332" s="175"/>
      <c r="K332" s="160"/>
      <c r="L332" s="160"/>
    </row>
    <row r="333" spans="1:14" ht="18" customHeight="1">
      <c r="A333" s="146"/>
      <c r="B333" s="146"/>
      <c r="C333" s="146" t="s">
        <v>388</v>
      </c>
      <c r="D333" s="146"/>
      <c r="E333" s="146"/>
      <c r="F333" s="146"/>
      <c r="G333" s="146"/>
      <c r="H333" s="146"/>
      <c r="I333" s="146"/>
      <c r="J333" s="146"/>
      <c r="K333" s="146"/>
      <c r="L333" s="146"/>
      <c r="N333" s="170"/>
    </row>
    <row r="334" spans="1:14" ht="15" customHeight="1">
      <c r="A334" s="146" t="s">
        <v>339</v>
      </c>
      <c r="B334" s="146"/>
      <c r="C334" s="146"/>
      <c r="D334" s="146"/>
      <c r="E334" s="146"/>
      <c r="F334" s="146"/>
      <c r="G334" s="146"/>
      <c r="H334" s="146"/>
      <c r="I334" s="146"/>
      <c r="J334" s="146"/>
      <c r="K334" s="146"/>
      <c r="L334" s="146"/>
      <c r="N334" s="170"/>
    </row>
    <row r="335" spans="1:14" ht="15" customHeight="1">
      <c r="A335" s="157" t="s">
        <v>279</v>
      </c>
      <c r="B335" s="447" t="s">
        <v>299</v>
      </c>
      <c r="C335" s="447"/>
      <c r="D335" s="447"/>
      <c r="E335" s="447"/>
      <c r="F335" s="447"/>
      <c r="G335" s="447" t="s">
        <v>340</v>
      </c>
      <c r="H335" s="447"/>
      <c r="I335" s="459" t="s">
        <v>341</v>
      </c>
      <c r="J335" s="459"/>
      <c r="K335" s="459" t="s">
        <v>342</v>
      </c>
      <c r="L335" s="459"/>
      <c r="N335" s="170"/>
    </row>
    <row r="336" spans="1:14" ht="15" customHeight="1">
      <c r="A336" s="157"/>
      <c r="B336" s="455" t="s">
        <v>461</v>
      </c>
      <c r="C336" s="456"/>
      <c r="D336" s="456"/>
      <c r="E336" s="456"/>
      <c r="F336" s="457"/>
      <c r="G336" s="447"/>
      <c r="H336" s="447"/>
      <c r="I336" s="458" t="e">
        <f>K336/G336</f>
        <v>#DIV/0!</v>
      </c>
      <c r="J336" s="458"/>
      <c r="K336" s="458"/>
      <c r="L336" s="458"/>
      <c r="N336" s="171"/>
    </row>
    <row r="337" spans="1:14" ht="15" customHeight="1">
      <c r="A337" s="173"/>
      <c r="B337" s="447" t="s">
        <v>300</v>
      </c>
      <c r="C337" s="447"/>
      <c r="D337" s="447"/>
      <c r="E337" s="447"/>
      <c r="F337" s="447"/>
      <c r="G337" s="451" t="s">
        <v>34</v>
      </c>
      <c r="H337" s="452"/>
      <c r="I337" s="453" t="s">
        <v>34</v>
      </c>
      <c r="J337" s="454"/>
      <c r="K337" s="458">
        <f>SUM(K336:L336)</f>
        <v>0</v>
      </c>
      <c r="L337" s="458"/>
      <c r="N337" s="170"/>
    </row>
    <row r="338" ht="15" customHeight="1"/>
    <row r="339" spans="1:12" ht="15" customHeight="1">
      <c r="A339" s="146"/>
      <c r="B339" s="146"/>
      <c r="C339" s="146" t="s">
        <v>391</v>
      </c>
      <c r="D339" s="146"/>
      <c r="E339" s="146"/>
      <c r="F339" s="146"/>
      <c r="G339" s="146"/>
      <c r="H339" s="146"/>
      <c r="I339" s="146"/>
      <c r="J339" s="146"/>
      <c r="K339" s="146"/>
      <c r="L339" s="146"/>
    </row>
    <row r="340" spans="1:14" ht="15" customHeight="1">
      <c r="A340" s="146" t="s">
        <v>392</v>
      </c>
      <c r="B340" s="146"/>
      <c r="C340" s="146"/>
      <c r="D340" s="146"/>
      <c r="E340" s="146"/>
      <c r="F340" s="146"/>
      <c r="G340" s="146"/>
      <c r="H340" s="146"/>
      <c r="I340" s="146"/>
      <c r="J340" s="146"/>
      <c r="K340" s="146"/>
      <c r="L340" s="146"/>
      <c r="N340" s="172"/>
    </row>
    <row r="341" spans="1:12" ht="15" customHeight="1">
      <c r="A341" s="157" t="s">
        <v>279</v>
      </c>
      <c r="B341" s="447" t="s">
        <v>299</v>
      </c>
      <c r="C341" s="447"/>
      <c r="D341" s="447"/>
      <c r="E341" s="447"/>
      <c r="F341" s="447"/>
      <c r="G341" s="463" t="s">
        <v>340</v>
      </c>
      <c r="H341" s="465"/>
      <c r="I341" s="459" t="s">
        <v>393</v>
      </c>
      <c r="J341" s="459"/>
      <c r="K341" s="459" t="s">
        <v>342</v>
      </c>
      <c r="L341" s="459"/>
    </row>
    <row r="342" spans="1:12" ht="24" customHeight="1">
      <c r="A342" s="157"/>
      <c r="B342" s="448" t="s">
        <v>394</v>
      </c>
      <c r="C342" s="449"/>
      <c r="D342" s="449"/>
      <c r="E342" s="449"/>
      <c r="F342" s="450"/>
      <c r="G342" s="447">
        <v>31</v>
      </c>
      <c r="H342" s="447"/>
      <c r="I342" s="458">
        <f>K342/G342/168</f>
        <v>0.20602918586789554</v>
      </c>
      <c r="J342" s="458"/>
      <c r="K342" s="458">
        <v>1073</v>
      </c>
      <c r="L342" s="458"/>
    </row>
    <row r="343" spans="1:12" ht="23.25" customHeight="1">
      <c r="A343" s="157"/>
      <c r="B343" s="448" t="s">
        <v>395</v>
      </c>
      <c r="C343" s="449"/>
      <c r="D343" s="449"/>
      <c r="E343" s="449"/>
      <c r="F343" s="450"/>
      <c r="G343" s="447">
        <v>45</v>
      </c>
      <c r="H343" s="447"/>
      <c r="I343" s="458">
        <f>K343/G343/247</f>
        <v>33.428699955015745</v>
      </c>
      <c r="J343" s="458"/>
      <c r="K343" s="466">
        <v>371560</v>
      </c>
      <c r="L343" s="466"/>
    </row>
    <row r="344" spans="1:15" s="137" customFormat="1" ht="18" customHeight="1">
      <c r="A344" s="157"/>
      <c r="B344" s="448" t="s">
        <v>496</v>
      </c>
      <c r="C344" s="449"/>
      <c r="D344" s="449"/>
      <c r="E344" s="449"/>
      <c r="F344" s="450"/>
      <c r="G344" s="447">
        <v>34</v>
      </c>
      <c r="H344" s="447"/>
      <c r="I344" s="446">
        <v>0.3</v>
      </c>
      <c r="J344" s="446"/>
      <c r="K344" s="446">
        <v>2172</v>
      </c>
      <c r="L344" s="446"/>
      <c r="M344" s="141"/>
      <c r="N344" s="141"/>
      <c r="O344" s="141"/>
    </row>
    <row r="345" spans="1:12" ht="15" customHeight="1">
      <c r="A345" s="157"/>
      <c r="B345" s="447" t="s">
        <v>300</v>
      </c>
      <c r="C345" s="447"/>
      <c r="D345" s="447"/>
      <c r="E345" s="447"/>
      <c r="F345" s="447"/>
      <c r="G345" s="447" t="s">
        <v>34</v>
      </c>
      <c r="H345" s="447"/>
      <c r="I345" s="458" t="s">
        <v>34</v>
      </c>
      <c r="J345" s="458"/>
      <c r="K345" s="458">
        <f>SUM(K342:K344)</f>
        <v>374805</v>
      </c>
      <c r="L345" s="458"/>
    </row>
    <row r="346" spans="1:12" ht="15" customHeight="1">
      <c r="A346" s="170"/>
      <c r="B346" s="159"/>
      <c r="C346" s="159"/>
      <c r="D346" s="159"/>
      <c r="E346" s="159"/>
      <c r="F346" s="159"/>
      <c r="G346" s="174"/>
      <c r="H346" s="174"/>
      <c r="I346" s="175"/>
      <c r="J346" s="175"/>
      <c r="K346" s="160"/>
      <c r="L346" s="160"/>
    </row>
    <row r="347" spans="1:12" ht="15" customHeight="1">
      <c r="A347" s="146"/>
      <c r="B347" s="146"/>
      <c r="C347" s="146" t="s">
        <v>391</v>
      </c>
      <c r="D347" s="146"/>
      <c r="E347" s="146"/>
      <c r="F347" s="146"/>
      <c r="G347" s="146"/>
      <c r="H347" s="146"/>
      <c r="I347" s="146"/>
      <c r="J347" s="146"/>
      <c r="K347" s="146"/>
      <c r="L347" s="146"/>
    </row>
    <row r="348" spans="1:12" ht="15" customHeight="1">
      <c r="A348" s="146" t="s">
        <v>389</v>
      </c>
      <c r="B348" s="146"/>
      <c r="C348" s="146"/>
      <c r="D348" s="146"/>
      <c r="E348" s="146"/>
      <c r="F348" s="146"/>
      <c r="G348" s="146"/>
      <c r="H348" s="146"/>
      <c r="I348" s="146"/>
      <c r="J348" s="146"/>
      <c r="K348" s="146"/>
      <c r="L348" s="146"/>
    </row>
    <row r="349" spans="1:12" ht="15" customHeight="1">
      <c r="A349" s="157" t="s">
        <v>279</v>
      </c>
      <c r="B349" s="447" t="s">
        <v>299</v>
      </c>
      <c r="C349" s="447"/>
      <c r="D349" s="447"/>
      <c r="E349" s="447"/>
      <c r="F349" s="447"/>
      <c r="G349" s="447" t="s">
        <v>340</v>
      </c>
      <c r="H349" s="447"/>
      <c r="I349" s="459" t="s">
        <v>341</v>
      </c>
      <c r="J349" s="459"/>
      <c r="K349" s="459" t="s">
        <v>342</v>
      </c>
      <c r="L349" s="459"/>
    </row>
    <row r="350" spans="1:12" ht="25.5" customHeight="1">
      <c r="A350" s="157"/>
      <c r="B350" s="448" t="s">
        <v>396</v>
      </c>
      <c r="C350" s="449"/>
      <c r="D350" s="449"/>
      <c r="E350" s="449"/>
      <c r="F350" s="450"/>
      <c r="G350" s="447">
        <v>26</v>
      </c>
      <c r="H350" s="447"/>
      <c r="I350" s="446">
        <v>60</v>
      </c>
      <c r="J350" s="446"/>
      <c r="K350" s="446">
        <v>199584</v>
      </c>
      <c r="L350" s="446"/>
    </row>
    <row r="351" spans="1:15" s="137" customFormat="1" ht="15.75" customHeight="1">
      <c r="A351" s="157"/>
      <c r="B351" s="448" t="s">
        <v>497</v>
      </c>
      <c r="C351" s="449"/>
      <c r="D351" s="449"/>
      <c r="E351" s="449"/>
      <c r="F351" s="450"/>
      <c r="G351" s="447">
        <v>34</v>
      </c>
      <c r="H351" s="447"/>
      <c r="I351" s="446">
        <v>15.92</v>
      </c>
      <c r="J351" s="446"/>
      <c r="K351" s="446">
        <v>95109</v>
      </c>
      <c r="L351" s="446"/>
      <c r="M351" s="141"/>
      <c r="N351" s="141"/>
      <c r="O351" s="141"/>
    </row>
    <row r="352" spans="1:15" s="137" customFormat="1" ht="15" customHeight="1">
      <c r="A352" s="157"/>
      <c r="B352" s="448" t="s">
        <v>498</v>
      </c>
      <c r="C352" s="449"/>
      <c r="D352" s="449"/>
      <c r="E352" s="449"/>
      <c r="F352" s="450"/>
      <c r="G352" s="447">
        <v>28</v>
      </c>
      <c r="H352" s="447"/>
      <c r="I352" s="446">
        <v>120</v>
      </c>
      <c r="J352" s="446"/>
      <c r="K352" s="446">
        <v>70560</v>
      </c>
      <c r="L352" s="446"/>
      <c r="M352" s="141"/>
      <c r="N352" s="141"/>
      <c r="O352" s="141"/>
    </row>
    <row r="353" spans="1:15" s="137" customFormat="1" ht="16.5" customHeight="1">
      <c r="A353" s="157"/>
      <c r="B353" s="448" t="s">
        <v>496</v>
      </c>
      <c r="C353" s="449"/>
      <c r="D353" s="449"/>
      <c r="E353" s="449"/>
      <c r="F353" s="450"/>
      <c r="G353" s="447">
        <v>34</v>
      </c>
      <c r="H353" s="447"/>
      <c r="I353" s="446">
        <v>11.34</v>
      </c>
      <c r="J353" s="446"/>
      <c r="K353" s="446">
        <v>149287</v>
      </c>
      <c r="L353" s="446"/>
      <c r="M353" s="141"/>
      <c r="N353" s="141"/>
      <c r="O353" s="141"/>
    </row>
    <row r="354" spans="1:14" ht="15" customHeight="1">
      <c r="A354" s="157"/>
      <c r="B354" s="508" t="s">
        <v>346</v>
      </c>
      <c r="C354" s="508"/>
      <c r="D354" s="508"/>
      <c r="E354" s="508"/>
      <c r="F354" s="508"/>
      <c r="G354" s="447">
        <v>0</v>
      </c>
      <c r="H354" s="447"/>
      <c r="I354" s="458">
        <v>0</v>
      </c>
      <c r="J354" s="458"/>
      <c r="K354" s="458">
        <f>SUM(K350:K353)</f>
        <v>514540</v>
      </c>
      <c r="L354" s="458"/>
      <c r="N354" s="176"/>
    </row>
    <row r="355" spans="1:12" ht="13.5" customHeight="1">
      <c r="A355" s="169"/>
      <c r="B355" s="159"/>
      <c r="C355" s="159"/>
      <c r="D355" s="159"/>
      <c r="E355" s="159"/>
      <c r="F355" s="159"/>
      <c r="G355" s="159"/>
      <c r="H355" s="159"/>
      <c r="I355" s="160"/>
      <c r="J355" s="160"/>
      <c r="K355" s="160"/>
      <c r="L355" s="160"/>
    </row>
    <row r="356" spans="1:12" ht="15" customHeight="1">
      <c r="A356" s="146"/>
      <c r="B356" s="146"/>
      <c r="C356" s="146" t="s">
        <v>391</v>
      </c>
      <c r="D356" s="146"/>
      <c r="E356" s="146"/>
      <c r="F356" s="146"/>
      <c r="G356" s="146"/>
      <c r="H356" s="146"/>
      <c r="I356" s="146"/>
      <c r="J356" s="146"/>
      <c r="K356" s="146"/>
      <c r="L356" s="146"/>
    </row>
    <row r="357" spans="1:12" ht="15" customHeight="1">
      <c r="A357" s="146" t="s">
        <v>499</v>
      </c>
      <c r="B357" s="146"/>
      <c r="C357" s="146"/>
      <c r="D357" s="146"/>
      <c r="E357" s="146"/>
      <c r="F357" s="146"/>
      <c r="G357" s="146"/>
      <c r="H357" s="146"/>
      <c r="I357" s="146"/>
      <c r="J357" s="146"/>
      <c r="K357" s="146"/>
      <c r="L357" s="146"/>
    </row>
    <row r="358" spans="1:12" ht="15" customHeight="1">
      <c r="A358" s="157" t="s">
        <v>279</v>
      </c>
      <c r="B358" s="447" t="s">
        <v>299</v>
      </c>
      <c r="C358" s="447"/>
      <c r="D358" s="447"/>
      <c r="E358" s="447"/>
      <c r="F358" s="447"/>
      <c r="G358" s="447" t="s">
        <v>340</v>
      </c>
      <c r="H358" s="447"/>
      <c r="I358" s="459" t="s">
        <v>341</v>
      </c>
      <c r="J358" s="459"/>
      <c r="K358" s="459" t="s">
        <v>342</v>
      </c>
      <c r="L358" s="459"/>
    </row>
    <row r="359" spans="1:15" s="137" customFormat="1" ht="19.5" customHeight="1">
      <c r="A359" s="157"/>
      <c r="B359" s="448" t="s">
        <v>496</v>
      </c>
      <c r="C359" s="449"/>
      <c r="D359" s="449"/>
      <c r="E359" s="449"/>
      <c r="F359" s="450"/>
      <c r="G359" s="447">
        <v>34</v>
      </c>
      <c r="H359" s="447"/>
      <c r="I359" s="446">
        <v>48.36</v>
      </c>
      <c r="J359" s="446"/>
      <c r="K359" s="446">
        <v>284912</v>
      </c>
      <c r="L359" s="446"/>
      <c r="M359" s="141"/>
      <c r="N359" s="141"/>
      <c r="O359" s="141"/>
    </row>
    <row r="360" spans="1:14" ht="15" customHeight="1">
      <c r="A360" s="157"/>
      <c r="B360" s="508" t="s">
        <v>346</v>
      </c>
      <c r="C360" s="508"/>
      <c r="D360" s="508"/>
      <c r="E360" s="508"/>
      <c r="F360" s="508"/>
      <c r="G360" s="447">
        <v>0</v>
      </c>
      <c r="H360" s="447"/>
      <c r="I360" s="458">
        <v>0</v>
      </c>
      <c r="J360" s="458"/>
      <c r="K360" s="458">
        <f>SUM(K359:L359)</f>
        <v>284912</v>
      </c>
      <c r="L360" s="458"/>
      <c r="N360" s="176"/>
    </row>
    <row r="361" spans="1:14" ht="15" customHeight="1">
      <c r="A361" s="169"/>
      <c r="B361" s="177"/>
      <c r="C361" s="177"/>
      <c r="D361" s="177"/>
      <c r="E361" s="177"/>
      <c r="F361" s="177"/>
      <c r="G361" s="159"/>
      <c r="H361" s="159"/>
      <c r="I361" s="160"/>
      <c r="J361" s="160"/>
      <c r="K361" s="160"/>
      <c r="L361" s="160"/>
      <c r="N361" s="176"/>
    </row>
    <row r="362" spans="1:12" ht="15" customHeight="1">
      <c r="A362" s="169"/>
      <c r="B362" s="169"/>
      <c r="C362" s="169"/>
      <c r="D362" s="146" t="s">
        <v>351</v>
      </c>
      <c r="E362" s="146"/>
      <c r="F362" s="146"/>
      <c r="G362" s="146"/>
      <c r="H362" s="146"/>
      <c r="I362" s="146"/>
      <c r="J362" s="146"/>
      <c r="K362" s="146"/>
      <c r="L362" s="169"/>
    </row>
    <row r="363" spans="1:12" ht="15" customHeight="1">
      <c r="A363" s="146" t="s">
        <v>485</v>
      </c>
      <c r="B363" s="169"/>
      <c r="C363" s="169"/>
      <c r="D363" s="146"/>
      <c r="E363" s="146"/>
      <c r="F363" s="146"/>
      <c r="G363" s="146"/>
      <c r="H363" s="146"/>
      <c r="I363" s="146"/>
      <c r="J363" s="146"/>
      <c r="K363" s="146"/>
      <c r="L363" s="169"/>
    </row>
    <row r="364" spans="1:12" ht="15" customHeight="1">
      <c r="A364" s="157" t="s">
        <v>279</v>
      </c>
      <c r="B364" s="447" t="s">
        <v>299</v>
      </c>
      <c r="C364" s="447"/>
      <c r="D364" s="447"/>
      <c r="E364" s="447"/>
      <c r="F364" s="447"/>
      <c r="G364" s="447" t="s">
        <v>340</v>
      </c>
      <c r="H364" s="447"/>
      <c r="I364" s="459" t="s">
        <v>341</v>
      </c>
      <c r="J364" s="459"/>
      <c r="K364" s="459" t="s">
        <v>342</v>
      </c>
      <c r="L364" s="459"/>
    </row>
    <row r="365" spans="1:12" ht="15" customHeight="1">
      <c r="A365" s="157"/>
      <c r="B365" s="444" t="s">
        <v>347</v>
      </c>
      <c r="C365" s="444"/>
      <c r="D365" s="444"/>
      <c r="E365" s="444"/>
      <c r="F365" s="444"/>
      <c r="G365" s="447"/>
      <c r="H365" s="447"/>
      <c r="I365" s="458"/>
      <c r="J365" s="458"/>
      <c r="K365" s="458">
        <f>19895.4+14043.84</f>
        <v>33939.240000000005</v>
      </c>
      <c r="L365" s="458"/>
    </row>
    <row r="366" spans="1:12" ht="15" customHeight="1">
      <c r="A366" s="157"/>
      <c r="B366" s="444" t="s">
        <v>345</v>
      </c>
      <c r="C366" s="444"/>
      <c r="D366" s="444"/>
      <c r="E366" s="444"/>
      <c r="F366" s="444"/>
      <c r="G366" s="447"/>
      <c r="H366" s="447"/>
      <c r="I366" s="458"/>
      <c r="J366" s="458"/>
      <c r="K366" s="458">
        <f>378012.6+28725+354960</f>
        <v>761697.6</v>
      </c>
      <c r="L366" s="458"/>
    </row>
    <row r="367" spans="1:14" ht="15" customHeight="1">
      <c r="A367" s="173"/>
      <c r="B367" s="502" t="s">
        <v>300</v>
      </c>
      <c r="C367" s="502"/>
      <c r="D367" s="502"/>
      <c r="E367" s="502"/>
      <c r="F367" s="502"/>
      <c r="G367" s="451" t="s">
        <v>34</v>
      </c>
      <c r="H367" s="452"/>
      <c r="I367" s="453" t="s">
        <v>34</v>
      </c>
      <c r="J367" s="454"/>
      <c r="K367" s="509">
        <f>SUM(K365:L366)</f>
        <v>795636.84</v>
      </c>
      <c r="L367" s="509"/>
      <c r="N367" s="176"/>
    </row>
    <row r="368" ht="15" customHeight="1"/>
    <row r="369" spans="1:13" ht="15" customHeight="1">
      <c r="A369" s="146"/>
      <c r="B369" s="147"/>
      <c r="C369" s="147"/>
      <c r="D369" s="147"/>
      <c r="E369" s="147"/>
      <c r="F369" s="147" t="s">
        <v>448</v>
      </c>
      <c r="G369" s="147"/>
      <c r="H369" s="147"/>
      <c r="I369" s="147"/>
      <c r="J369" s="147"/>
      <c r="K369" s="147"/>
      <c r="L369" s="147"/>
      <c r="M369" s="147"/>
    </row>
    <row r="370" spans="1:13" ht="15" customHeight="1">
      <c r="A370" s="146"/>
      <c r="B370" s="147"/>
      <c r="C370" s="147"/>
      <c r="D370" s="147"/>
      <c r="E370" s="147"/>
      <c r="F370" s="147"/>
      <c r="G370" s="147"/>
      <c r="H370" s="147"/>
      <c r="I370" s="147"/>
      <c r="J370" s="147"/>
      <c r="K370" s="147"/>
      <c r="L370" s="147"/>
      <c r="M370" s="147"/>
    </row>
    <row r="371" spans="1:13" ht="15" customHeight="1">
      <c r="A371" s="148"/>
      <c r="B371" s="148"/>
      <c r="C371" s="148"/>
      <c r="D371" s="149" t="s">
        <v>354</v>
      </c>
      <c r="E371" s="149"/>
      <c r="F371" s="149"/>
      <c r="G371" s="149"/>
      <c r="H371" s="149"/>
      <c r="I371" s="150"/>
      <c r="J371" s="150"/>
      <c r="K371" s="150"/>
      <c r="L371" s="148"/>
      <c r="M371" s="149"/>
    </row>
    <row r="372" spans="1:13" ht="15" customHeight="1">
      <c r="A372" s="150" t="s">
        <v>344</v>
      </c>
      <c r="B372" s="148"/>
      <c r="C372" s="148"/>
      <c r="D372" s="150"/>
      <c r="E372" s="150"/>
      <c r="F372" s="150"/>
      <c r="G372" s="150"/>
      <c r="H372" s="150"/>
      <c r="I372" s="150"/>
      <c r="J372" s="150"/>
      <c r="K372" s="150"/>
      <c r="L372" s="148"/>
      <c r="M372" s="149"/>
    </row>
    <row r="373" spans="1:13" ht="15" customHeight="1">
      <c r="A373" s="199" t="s">
        <v>279</v>
      </c>
      <c r="B373" s="481" t="s">
        <v>355</v>
      </c>
      <c r="C373" s="482"/>
      <c r="D373" s="482"/>
      <c r="E373" s="482"/>
      <c r="F373" s="483"/>
      <c r="G373" s="481" t="s">
        <v>356</v>
      </c>
      <c r="H373" s="483"/>
      <c r="I373" s="493" t="s">
        <v>357</v>
      </c>
      <c r="J373" s="494"/>
      <c r="K373" s="493" t="s">
        <v>358</v>
      </c>
      <c r="L373" s="494"/>
      <c r="M373" s="151" t="s">
        <v>342</v>
      </c>
    </row>
    <row r="374" spans="1:13" ht="15" customHeight="1">
      <c r="A374" s="199"/>
      <c r="B374" s="201" t="s">
        <v>365</v>
      </c>
      <c r="C374" s="202"/>
      <c r="D374" s="202"/>
      <c r="E374" s="202"/>
      <c r="F374" s="203"/>
      <c r="G374" s="481">
        <v>30</v>
      </c>
      <c r="H374" s="483"/>
      <c r="I374" s="497">
        <v>62.9</v>
      </c>
      <c r="J374" s="498"/>
      <c r="K374" s="500">
        <v>168</v>
      </c>
      <c r="L374" s="501"/>
      <c r="M374" s="152">
        <f>SUM(G374*I374*K374)</f>
        <v>317016</v>
      </c>
    </row>
    <row r="375" spans="1:13" ht="15" customHeight="1">
      <c r="A375" s="199"/>
      <c r="B375" s="201" t="s">
        <v>366</v>
      </c>
      <c r="C375" s="202"/>
      <c r="D375" s="202"/>
      <c r="E375" s="202"/>
      <c r="F375" s="203"/>
      <c r="G375" s="481">
        <v>11</v>
      </c>
      <c r="H375" s="483"/>
      <c r="I375" s="497">
        <v>31.45</v>
      </c>
      <c r="J375" s="498"/>
      <c r="K375" s="500">
        <v>168</v>
      </c>
      <c r="L375" s="501"/>
      <c r="M375" s="152">
        <f>SUM(G375*I375*K375)</f>
        <v>58119.6</v>
      </c>
    </row>
    <row r="376" spans="1:13" ht="15" customHeight="1">
      <c r="A376" s="153"/>
      <c r="B376" s="484" t="s">
        <v>300</v>
      </c>
      <c r="C376" s="485"/>
      <c r="D376" s="485"/>
      <c r="E376" s="485"/>
      <c r="F376" s="486"/>
      <c r="G376" s="471" t="s">
        <v>34</v>
      </c>
      <c r="H376" s="492"/>
      <c r="I376" s="495" t="s">
        <v>34</v>
      </c>
      <c r="J376" s="496"/>
      <c r="K376" s="497" t="s">
        <v>34</v>
      </c>
      <c r="L376" s="498"/>
      <c r="M376" s="154">
        <f>SUM(M374:N375)</f>
        <v>375135.6</v>
      </c>
    </row>
    <row r="377" spans="1:13" ht="15" customHeight="1">
      <c r="A377" s="150"/>
      <c r="B377" s="149"/>
      <c r="C377" s="149"/>
      <c r="D377" s="149"/>
      <c r="E377" s="149"/>
      <c r="F377" s="149"/>
      <c r="G377" s="149"/>
      <c r="H377" s="149"/>
      <c r="I377" s="149"/>
      <c r="J377" s="149"/>
      <c r="K377" s="149"/>
      <c r="L377" s="149"/>
      <c r="M377" s="149"/>
    </row>
    <row r="378" spans="1:13" ht="15" customHeight="1">
      <c r="A378" s="150"/>
      <c r="B378" s="149"/>
      <c r="C378" s="149"/>
      <c r="D378" s="149" t="s">
        <v>359</v>
      </c>
      <c r="E378" s="149"/>
      <c r="F378" s="149"/>
      <c r="G378" s="149"/>
      <c r="H378" s="149"/>
      <c r="I378" s="150"/>
      <c r="J378" s="149"/>
      <c r="K378" s="149"/>
      <c r="L378" s="149"/>
      <c r="M378" s="149"/>
    </row>
    <row r="379" spans="1:13" ht="15" customHeight="1">
      <c r="A379" s="150" t="s">
        <v>344</v>
      </c>
      <c r="B379" s="148"/>
      <c r="C379" s="148"/>
      <c r="D379" s="150"/>
      <c r="E379" s="150"/>
      <c r="F379" s="149"/>
      <c r="G379" s="149"/>
      <c r="H379" s="149"/>
      <c r="I379" s="149"/>
      <c r="J379" s="149"/>
      <c r="K379" s="149"/>
      <c r="L379" s="149"/>
      <c r="M379" s="149"/>
    </row>
    <row r="380" spans="1:13" ht="15" customHeight="1">
      <c r="A380" s="199" t="s">
        <v>279</v>
      </c>
      <c r="B380" s="481" t="s">
        <v>355</v>
      </c>
      <c r="C380" s="482"/>
      <c r="D380" s="482"/>
      <c r="E380" s="482"/>
      <c r="F380" s="483"/>
      <c r="G380" s="204" t="s">
        <v>356</v>
      </c>
      <c r="H380" s="205"/>
      <c r="I380" s="493" t="s">
        <v>357</v>
      </c>
      <c r="J380" s="494"/>
      <c r="K380" s="493" t="s">
        <v>358</v>
      </c>
      <c r="L380" s="494"/>
      <c r="M380" s="151" t="s">
        <v>342</v>
      </c>
    </row>
    <row r="381" spans="1:13" ht="15" customHeight="1">
      <c r="A381" s="199"/>
      <c r="B381" s="201" t="s">
        <v>368</v>
      </c>
      <c r="C381" s="202"/>
      <c r="D381" s="202"/>
      <c r="E381" s="202"/>
      <c r="F381" s="203"/>
      <c r="G381" s="481">
        <v>4</v>
      </c>
      <c r="H381" s="483"/>
      <c r="I381" s="497">
        <v>15</v>
      </c>
      <c r="J381" s="498"/>
      <c r="K381" s="500">
        <v>205</v>
      </c>
      <c r="L381" s="501"/>
      <c r="M381" s="152">
        <f>G381*I381*K381</f>
        <v>12300</v>
      </c>
    </row>
    <row r="382" spans="1:13" ht="15" customHeight="1">
      <c r="A382" s="199"/>
      <c r="B382" s="201" t="s">
        <v>369</v>
      </c>
      <c r="C382" s="202"/>
      <c r="D382" s="202"/>
      <c r="E382" s="202"/>
      <c r="F382" s="203"/>
      <c r="G382" s="481">
        <v>5</v>
      </c>
      <c r="H382" s="483"/>
      <c r="I382" s="497">
        <v>15</v>
      </c>
      <c r="J382" s="498"/>
      <c r="K382" s="500">
        <v>219</v>
      </c>
      <c r="L382" s="501"/>
      <c r="M382" s="152">
        <f>G382*I382*K382</f>
        <v>16425</v>
      </c>
    </row>
    <row r="383" spans="1:13" ht="15" customHeight="1">
      <c r="A383" s="153"/>
      <c r="B383" s="484" t="s">
        <v>300</v>
      </c>
      <c r="C383" s="485"/>
      <c r="D383" s="485"/>
      <c r="E383" s="485"/>
      <c r="F383" s="486"/>
      <c r="G383" s="471" t="s">
        <v>34</v>
      </c>
      <c r="H383" s="492"/>
      <c r="I383" s="495" t="s">
        <v>34</v>
      </c>
      <c r="J383" s="496"/>
      <c r="K383" s="497" t="s">
        <v>34</v>
      </c>
      <c r="L383" s="498"/>
      <c r="M383" s="154">
        <f>SUM(M381:M382)</f>
        <v>28725</v>
      </c>
    </row>
    <row r="384" spans="1:13" ht="15" customHeight="1">
      <c r="A384" s="150"/>
      <c r="B384" s="149"/>
      <c r="C384" s="149"/>
      <c r="D384" s="149"/>
      <c r="E384" s="149"/>
      <c r="F384" s="149"/>
      <c r="G384" s="149"/>
      <c r="H384" s="149"/>
      <c r="I384" s="149"/>
      <c r="J384" s="149"/>
      <c r="K384" s="149"/>
      <c r="L384" s="149"/>
      <c r="M384" s="149"/>
    </row>
    <row r="385" spans="1:13" ht="15" customHeight="1">
      <c r="A385" s="148"/>
      <c r="B385" s="148"/>
      <c r="C385" s="148"/>
      <c r="D385" s="149" t="s">
        <v>360</v>
      </c>
      <c r="E385" s="149"/>
      <c r="F385" s="149"/>
      <c r="G385" s="149"/>
      <c r="H385" s="149"/>
      <c r="I385" s="150"/>
      <c r="J385" s="150"/>
      <c r="K385" s="150"/>
      <c r="L385" s="148"/>
      <c r="M385" s="149"/>
    </row>
    <row r="386" spans="1:13" ht="15" customHeight="1">
      <c r="A386" s="150" t="s">
        <v>344</v>
      </c>
      <c r="B386" s="148"/>
      <c r="C386" s="148"/>
      <c r="D386" s="150"/>
      <c r="E386" s="150"/>
      <c r="F386" s="150"/>
      <c r="G386" s="150"/>
      <c r="H386" s="150"/>
      <c r="I386" s="150"/>
      <c r="J386" s="150"/>
      <c r="K386" s="150"/>
      <c r="L386" s="148"/>
      <c r="M386" s="149"/>
    </row>
    <row r="387" spans="1:13" ht="15" customHeight="1">
      <c r="A387" s="199" t="s">
        <v>279</v>
      </c>
      <c r="B387" s="481" t="s">
        <v>355</v>
      </c>
      <c r="C387" s="482"/>
      <c r="D387" s="482"/>
      <c r="E387" s="482"/>
      <c r="F387" s="483"/>
      <c r="G387" s="481" t="s">
        <v>356</v>
      </c>
      <c r="H387" s="483"/>
      <c r="I387" s="493" t="s">
        <v>357</v>
      </c>
      <c r="J387" s="494"/>
      <c r="K387" s="493" t="s">
        <v>358</v>
      </c>
      <c r="L387" s="494"/>
      <c r="M387" s="151" t="s">
        <v>342</v>
      </c>
    </row>
    <row r="388" spans="1:13" ht="15" customHeight="1">
      <c r="A388" s="199"/>
      <c r="B388" s="489" t="s">
        <v>367</v>
      </c>
      <c r="C388" s="490"/>
      <c r="D388" s="490"/>
      <c r="E388" s="490"/>
      <c r="F388" s="491"/>
      <c r="G388" s="481">
        <v>29</v>
      </c>
      <c r="H388" s="483"/>
      <c r="I388" s="497">
        <v>60</v>
      </c>
      <c r="J388" s="498"/>
      <c r="K388" s="500">
        <v>204</v>
      </c>
      <c r="L388" s="501"/>
      <c r="M388" s="152">
        <f>SUM(G388*I388*K388)</f>
        <v>354960</v>
      </c>
    </row>
    <row r="389" spans="1:13" ht="15" customHeight="1">
      <c r="A389" s="153"/>
      <c r="B389" s="484" t="s">
        <v>300</v>
      </c>
      <c r="C389" s="485"/>
      <c r="D389" s="485"/>
      <c r="E389" s="485"/>
      <c r="F389" s="486"/>
      <c r="G389" s="471" t="s">
        <v>34</v>
      </c>
      <c r="H389" s="472"/>
      <c r="I389" s="495" t="s">
        <v>34</v>
      </c>
      <c r="J389" s="472"/>
      <c r="K389" s="497" t="s">
        <v>34</v>
      </c>
      <c r="L389" s="498"/>
      <c r="M389" s="154">
        <f>SUM(M388:N388)</f>
        <v>354960</v>
      </c>
    </row>
    <row r="390" spans="1:13" ht="15" customHeight="1">
      <c r="A390" s="146"/>
      <c r="B390" s="147"/>
      <c r="C390" s="147"/>
      <c r="D390" s="147"/>
      <c r="E390" s="147"/>
      <c r="F390" s="147"/>
      <c r="G390" s="147"/>
      <c r="H390" s="147"/>
      <c r="I390" s="147"/>
      <c r="J390" s="147"/>
      <c r="K390" s="147"/>
      <c r="L390" s="147"/>
      <c r="M390" s="147"/>
    </row>
    <row r="391" spans="1:13" ht="15" customHeight="1">
      <c r="A391" s="148"/>
      <c r="B391" s="148"/>
      <c r="C391" s="148"/>
      <c r="D391" s="149" t="s">
        <v>361</v>
      </c>
      <c r="E391" s="149"/>
      <c r="F391" s="149"/>
      <c r="G391" s="149"/>
      <c r="H391" s="149"/>
      <c r="I391" s="150"/>
      <c r="J391" s="150"/>
      <c r="K391" s="150"/>
      <c r="L391" s="148"/>
      <c r="M391" s="147"/>
    </row>
    <row r="392" spans="1:13" ht="15" customHeight="1">
      <c r="A392" s="150" t="s">
        <v>344</v>
      </c>
      <c r="B392" s="148"/>
      <c r="C392" s="148"/>
      <c r="D392" s="150"/>
      <c r="E392" s="150"/>
      <c r="F392" s="150"/>
      <c r="G392" s="150"/>
      <c r="H392" s="150"/>
      <c r="I392" s="150"/>
      <c r="J392" s="150"/>
      <c r="K392" s="150"/>
      <c r="L392" s="148"/>
      <c r="M392" s="147"/>
    </row>
    <row r="393" spans="1:13" ht="15" customHeight="1">
      <c r="A393" s="155" t="s">
        <v>279</v>
      </c>
      <c r="B393" s="473" t="s">
        <v>355</v>
      </c>
      <c r="C393" s="473"/>
      <c r="D393" s="473"/>
      <c r="E393" s="473"/>
      <c r="F393" s="473"/>
      <c r="G393" s="505" t="s">
        <v>362</v>
      </c>
      <c r="H393" s="505"/>
      <c r="I393" s="505" t="s">
        <v>363</v>
      </c>
      <c r="J393" s="505"/>
      <c r="K393" s="505" t="s">
        <v>342</v>
      </c>
      <c r="L393" s="505"/>
      <c r="M393" s="147"/>
    </row>
    <row r="394" spans="1:13" ht="15" customHeight="1">
      <c r="A394" s="155"/>
      <c r="B394" s="487" t="s">
        <v>364</v>
      </c>
      <c r="C394" s="487"/>
      <c r="D394" s="487"/>
      <c r="E394" s="487"/>
      <c r="F394" s="487"/>
      <c r="G394" s="488">
        <v>1170.32</v>
      </c>
      <c r="H394" s="488"/>
      <c r="I394" s="480">
        <v>12</v>
      </c>
      <c r="J394" s="480"/>
      <c r="K394" s="488">
        <f>G394*I394</f>
        <v>14043.84</v>
      </c>
      <c r="L394" s="488"/>
      <c r="M394" s="147"/>
    </row>
    <row r="395" spans="1:13" ht="15" customHeight="1">
      <c r="A395" s="153"/>
      <c r="B395" s="499" t="s">
        <v>300</v>
      </c>
      <c r="C395" s="499"/>
      <c r="D395" s="499"/>
      <c r="E395" s="499"/>
      <c r="F395" s="499"/>
      <c r="G395" s="495" t="s">
        <v>34</v>
      </c>
      <c r="H395" s="496"/>
      <c r="I395" s="488" t="s">
        <v>34</v>
      </c>
      <c r="J395" s="488"/>
      <c r="K395" s="504">
        <f>SUM(K394:L394)</f>
        <v>14043.84</v>
      </c>
      <c r="L395" s="504"/>
      <c r="M395" s="147"/>
    </row>
    <row r="396" spans="1:13" ht="15" customHeight="1">
      <c r="A396" s="146"/>
      <c r="B396" s="147"/>
      <c r="C396" s="147"/>
      <c r="D396" s="147"/>
      <c r="E396" s="147"/>
      <c r="F396" s="147"/>
      <c r="G396" s="147"/>
      <c r="H396" s="147"/>
      <c r="I396" s="147"/>
      <c r="J396" s="147"/>
      <c r="K396" s="147"/>
      <c r="L396" s="147"/>
      <c r="M396" s="147"/>
    </row>
    <row r="397" spans="1:13" ht="15" customHeight="1">
      <c r="A397" s="146"/>
      <c r="B397" s="146"/>
      <c r="C397" s="146" t="s">
        <v>275</v>
      </c>
      <c r="D397" s="146"/>
      <c r="E397" s="146"/>
      <c r="F397" s="146"/>
      <c r="G397" s="146"/>
      <c r="H397" s="146"/>
      <c r="I397" s="146"/>
      <c r="J397" s="146"/>
      <c r="K397" s="146"/>
      <c r="L397" s="146"/>
      <c r="M397" s="146"/>
    </row>
    <row r="398" spans="1:13" ht="15" customHeight="1">
      <c r="A398" s="146" t="s">
        <v>276</v>
      </c>
      <c r="B398" s="146"/>
      <c r="C398" s="146"/>
      <c r="D398" s="146"/>
      <c r="E398" s="146"/>
      <c r="F398" s="146"/>
      <c r="G398" s="146"/>
      <c r="H398" s="146"/>
      <c r="I398" s="146"/>
      <c r="J398" s="146"/>
      <c r="K398" s="146"/>
      <c r="L398" s="146"/>
      <c r="M398" s="146"/>
    </row>
    <row r="399" spans="1:13" ht="15" customHeight="1">
      <c r="A399" s="146" t="s">
        <v>277</v>
      </c>
      <c r="B399" s="146"/>
      <c r="C399" s="146"/>
      <c r="D399" s="146"/>
      <c r="E399" s="146"/>
      <c r="F399" s="146"/>
      <c r="G399" s="146"/>
      <c r="H399" s="146"/>
      <c r="I399" s="146"/>
      <c r="J399" s="146"/>
      <c r="K399" s="146"/>
      <c r="L399" s="146"/>
      <c r="M399" s="146"/>
    </row>
    <row r="400" spans="1:13" ht="15" customHeight="1">
      <c r="A400" s="146"/>
      <c r="B400" s="146"/>
      <c r="C400" s="146" t="s">
        <v>278</v>
      </c>
      <c r="D400" s="146"/>
      <c r="E400" s="146"/>
      <c r="F400" s="146"/>
      <c r="G400" s="146"/>
      <c r="H400" s="146"/>
      <c r="I400" s="146"/>
      <c r="J400" s="146"/>
      <c r="K400" s="146"/>
      <c r="L400" s="146"/>
      <c r="M400" s="146"/>
    </row>
    <row r="401" spans="1:13" ht="32.25" customHeight="1">
      <c r="A401" s="503" t="s">
        <v>279</v>
      </c>
      <c r="B401" s="474" t="s">
        <v>280</v>
      </c>
      <c r="C401" s="474"/>
      <c r="D401" s="474" t="s">
        <v>281</v>
      </c>
      <c r="E401" s="474"/>
      <c r="F401" s="474" t="s">
        <v>282</v>
      </c>
      <c r="G401" s="474"/>
      <c r="H401" s="474"/>
      <c r="I401" s="474"/>
      <c r="J401" s="474" t="s">
        <v>283</v>
      </c>
      <c r="K401" s="474" t="s">
        <v>284</v>
      </c>
      <c r="L401" s="474" t="s">
        <v>285</v>
      </c>
      <c r="M401" s="474"/>
    </row>
    <row r="402" spans="1:13" ht="15" customHeight="1">
      <c r="A402" s="503"/>
      <c r="B402" s="474"/>
      <c r="C402" s="474"/>
      <c r="D402" s="474"/>
      <c r="E402" s="474"/>
      <c r="F402" s="503" t="s">
        <v>286</v>
      </c>
      <c r="G402" s="503" t="s">
        <v>42</v>
      </c>
      <c r="H402" s="503"/>
      <c r="I402" s="503"/>
      <c r="J402" s="474"/>
      <c r="K402" s="474"/>
      <c r="L402" s="474"/>
      <c r="M402" s="474"/>
    </row>
    <row r="403" spans="1:13" ht="63.75" customHeight="1">
      <c r="A403" s="503"/>
      <c r="B403" s="474"/>
      <c r="C403" s="474"/>
      <c r="D403" s="474"/>
      <c r="E403" s="474"/>
      <c r="F403" s="503"/>
      <c r="G403" s="156" t="s">
        <v>287</v>
      </c>
      <c r="H403" s="156" t="s">
        <v>288</v>
      </c>
      <c r="I403" s="156" t="s">
        <v>289</v>
      </c>
      <c r="J403" s="474"/>
      <c r="K403" s="474"/>
      <c r="L403" s="474"/>
      <c r="M403" s="474"/>
    </row>
    <row r="404" spans="1:13" ht="15" customHeight="1">
      <c r="A404" s="157">
        <v>1</v>
      </c>
      <c r="B404" s="447">
        <v>2</v>
      </c>
      <c r="C404" s="447"/>
      <c r="D404" s="447">
        <v>3</v>
      </c>
      <c r="E404" s="447"/>
      <c r="F404" s="157">
        <v>4</v>
      </c>
      <c r="G404" s="157">
        <v>5</v>
      </c>
      <c r="H404" s="157">
        <v>6</v>
      </c>
      <c r="I404" s="157">
        <v>7</v>
      </c>
      <c r="J404" s="157">
        <v>8</v>
      </c>
      <c r="K404" s="157">
        <v>9</v>
      </c>
      <c r="L404" s="447">
        <v>10</v>
      </c>
      <c r="M404" s="447"/>
    </row>
    <row r="405" spans="1:13" ht="15" customHeight="1">
      <c r="A405" s="157">
        <v>1</v>
      </c>
      <c r="B405" s="478" t="s">
        <v>290</v>
      </c>
      <c r="C405" s="479"/>
      <c r="D405" s="478">
        <v>1</v>
      </c>
      <c r="E405" s="479"/>
      <c r="F405" s="207">
        <f>SUM(G405:I405)</f>
        <v>28218.25</v>
      </c>
      <c r="G405" s="207">
        <v>13765</v>
      </c>
      <c r="H405" s="207">
        <f>G405*25%</f>
        <v>3441.25</v>
      </c>
      <c r="I405" s="207">
        <f>G405*80%</f>
        <v>11012</v>
      </c>
      <c r="J405" s="207"/>
      <c r="K405" s="207">
        <v>1.15</v>
      </c>
      <c r="L405" s="460">
        <f>D405*F405*K405*12*0.4833</f>
        <v>188202.747105</v>
      </c>
      <c r="M405" s="462"/>
    </row>
    <row r="406" spans="1:13" ht="15" customHeight="1">
      <c r="A406" s="157">
        <v>2</v>
      </c>
      <c r="B406" s="478" t="s">
        <v>291</v>
      </c>
      <c r="C406" s="479"/>
      <c r="D406" s="478">
        <v>3</v>
      </c>
      <c r="E406" s="479"/>
      <c r="F406" s="207">
        <f aca="true" t="shared" si="4" ref="F406:F412">SUM(G406:I406)</f>
        <v>20476.75</v>
      </c>
      <c r="G406" s="207">
        <v>11701</v>
      </c>
      <c r="H406" s="207">
        <f>G406*25%</f>
        <v>2925.25</v>
      </c>
      <c r="I406" s="207">
        <f>G406*50%</f>
        <v>5850.5</v>
      </c>
      <c r="J406" s="207"/>
      <c r="K406" s="207">
        <v>1.15</v>
      </c>
      <c r="L406" s="460">
        <f>D406*F406*K406*12*0.4833</f>
        <v>409711.509585</v>
      </c>
      <c r="M406" s="462"/>
    </row>
    <row r="407" spans="1:13" ht="15" customHeight="1">
      <c r="A407" s="157">
        <v>3</v>
      </c>
      <c r="B407" s="478" t="s">
        <v>292</v>
      </c>
      <c r="C407" s="479"/>
      <c r="D407" s="478">
        <v>28.65</v>
      </c>
      <c r="E407" s="479"/>
      <c r="F407" s="207">
        <f t="shared" si="4"/>
        <v>30140</v>
      </c>
      <c r="G407" s="207">
        <v>11140</v>
      </c>
      <c r="H407" s="207">
        <f>G407*25%+3920</f>
        <v>6705</v>
      </c>
      <c r="I407" s="207">
        <f>6215.11+5817.39+262.5</f>
        <v>12295</v>
      </c>
      <c r="J407" s="207"/>
      <c r="K407" s="207">
        <v>1.15</v>
      </c>
      <c r="L407" s="460">
        <f>D407*F407*K407*12*0.4833+721.79</f>
        <v>5759942.94494</v>
      </c>
      <c r="M407" s="462"/>
    </row>
    <row r="408" spans="1:13" ht="15">
      <c r="A408" s="157"/>
      <c r="B408" s="478" t="s">
        <v>293</v>
      </c>
      <c r="C408" s="479"/>
      <c r="D408" s="478">
        <v>19.45</v>
      </c>
      <c r="E408" s="479"/>
      <c r="F408" s="207">
        <f t="shared" si="4"/>
        <v>31226</v>
      </c>
      <c r="G408" s="207">
        <v>11200</v>
      </c>
      <c r="H408" s="207">
        <f>G408*25%+3920</f>
        <v>6720</v>
      </c>
      <c r="I408" s="207">
        <f>6487.93+6818.07</f>
        <v>13306</v>
      </c>
      <c r="J408" s="207"/>
      <c r="K408" s="207">
        <v>1.15</v>
      </c>
      <c r="L408" s="460">
        <f>D408*F408*K408*12*0.4833</f>
        <v>4050716.439978</v>
      </c>
      <c r="M408" s="462"/>
    </row>
    <row r="409" spans="1:13" ht="15">
      <c r="A409" s="157"/>
      <c r="B409" s="478" t="s">
        <v>294</v>
      </c>
      <c r="C409" s="479"/>
      <c r="D409" s="478">
        <v>4.65</v>
      </c>
      <c r="E409" s="479"/>
      <c r="F409" s="207">
        <f t="shared" si="4"/>
        <v>26577</v>
      </c>
      <c r="G409" s="207">
        <v>12190</v>
      </c>
      <c r="H409" s="207">
        <f>G409*25%</f>
        <v>3047.5</v>
      </c>
      <c r="I409" s="207">
        <f>5340.74+5998.76</f>
        <v>11339.5</v>
      </c>
      <c r="J409" s="207"/>
      <c r="K409" s="207">
        <v>1.15</v>
      </c>
      <c r="L409" s="460">
        <f>D409*F409*K409*12*0.4833</f>
        <v>824242.0952969999</v>
      </c>
      <c r="M409" s="462"/>
    </row>
    <row r="410" spans="1:13" ht="15">
      <c r="A410" s="157">
        <v>4</v>
      </c>
      <c r="B410" s="478" t="s">
        <v>295</v>
      </c>
      <c r="C410" s="479"/>
      <c r="D410" s="478">
        <f>0.5+4</f>
        <v>4.5</v>
      </c>
      <c r="E410" s="479"/>
      <c r="F410" s="207">
        <f t="shared" si="4"/>
        <v>12392</v>
      </c>
      <c r="G410" s="207">
        <v>8429</v>
      </c>
      <c r="H410" s="207">
        <v>336.08</v>
      </c>
      <c r="I410" s="207">
        <f>3973.43-74.51-272</f>
        <v>3626.9199999999996</v>
      </c>
      <c r="J410" s="207"/>
      <c r="K410" s="207">
        <v>1.15</v>
      </c>
      <c r="L410" s="460">
        <f>D410*F410*K410*12*0.4833</f>
        <v>371920.22855999996</v>
      </c>
      <c r="M410" s="462"/>
    </row>
    <row r="411" spans="1:13" ht="15">
      <c r="A411" s="157"/>
      <c r="B411" s="478" t="s">
        <v>296</v>
      </c>
      <c r="C411" s="479"/>
      <c r="D411" s="478">
        <v>4</v>
      </c>
      <c r="E411" s="479"/>
      <c r="F411" s="207">
        <f t="shared" si="4"/>
        <v>12392</v>
      </c>
      <c r="G411" s="207">
        <v>8402</v>
      </c>
      <c r="H411" s="207">
        <v>336.08</v>
      </c>
      <c r="I411" s="207">
        <f>3973.43-319.51</f>
        <v>3653.92</v>
      </c>
      <c r="J411" s="207"/>
      <c r="K411" s="207">
        <v>1.15</v>
      </c>
      <c r="L411" s="460">
        <f>D411*F411*K411*12*0.4833</f>
        <v>330595.75872</v>
      </c>
      <c r="M411" s="462"/>
    </row>
    <row r="412" spans="1:13" ht="15">
      <c r="A412" s="157">
        <v>5</v>
      </c>
      <c r="B412" s="478" t="s">
        <v>297</v>
      </c>
      <c r="C412" s="479"/>
      <c r="D412" s="478">
        <v>19.85</v>
      </c>
      <c r="E412" s="479"/>
      <c r="F412" s="207">
        <f t="shared" si="4"/>
        <v>12392</v>
      </c>
      <c r="G412" s="207">
        <v>8391</v>
      </c>
      <c r="H412" s="207">
        <v>2011.84</v>
      </c>
      <c r="I412" s="207">
        <f>3671.16-1682</f>
        <v>1989.1599999999999</v>
      </c>
      <c r="J412" s="207"/>
      <c r="K412" s="207">
        <v>1.15</v>
      </c>
      <c r="L412" s="460">
        <f>D412*F412*K412*12*0.4833</f>
        <v>1640581.452648</v>
      </c>
      <c r="M412" s="462"/>
    </row>
    <row r="413" spans="1:13" ht="15">
      <c r="A413" s="158"/>
      <c r="B413" s="210"/>
      <c r="C413" s="208"/>
      <c r="D413" s="478"/>
      <c r="E413" s="479"/>
      <c r="F413" s="207">
        <f>SUM(G413:I413)</f>
        <v>0</v>
      </c>
      <c r="G413" s="207"/>
      <c r="H413" s="207"/>
      <c r="I413" s="207"/>
      <c r="J413" s="207"/>
      <c r="K413" s="207"/>
      <c r="L413" s="460">
        <f>D413*F413*K413*12</f>
        <v>0</v>
      </c>
      <c r="M413" s="462"/>
    </row>
    <row r="414" spans="1:14" ht="15">
      <c r="A414" s="478" t="s">
        <v>298</v>
      </c>
      <c r="B414" s="506"/>
      <c r="C414" s="479"/>
      <c r="D414" s="478">
        <f>D405+D406+D407+D410+D412</f>
        <v>57</v>
      </c>
      <c r="E414" s="479"/>
      <c r="F414" s="207" t="s">
        <v>34</v>
      </c>
      <c r="G414" s="207" t="s">
        <v>34</v>
      </c>
      <c r="H414" s="207" t="s">
        <v>34</v>
      </c>
      <c r="I414" s="207" t="s">
        <v>34</v>
      </c>
      <c r="J414" s="206"/>
      <c r="K414" s="206" t="s">
        <v>34</v>
      </c>
      <c r="L414" s="460">
        <f>L405+L406+L407+L410+L412+0.12</f>
        <v>8370359.002838</v>
      </c>
      <c r="M414" s="462"/>
      <c r="N414" s="141">
        <v>8370359</v>
      </c>
    </row>
    <row r="415" spans="1:13" ht="15">
      <c r="A415" s="169"/>
      <c r="B415" s="178"/>
      <c r="C415" s="178"/>
      <c r="D415" s="178"/>
      <c r="E415" s="178"/>
      <c r="F415" s="159"/>
      <c r="G415" s="159"/>
      <c r="H415" s="159"/>
      <c r="I415" s="159"/>
      <c r="J415" s="159"/>
      <c r="K415" s="159"/>
      <c r="L415" s="159"/>
      <c r="M415" s="146"/>
    </row>
    <row r="416" spans="1:13" ht="25.5" customHeight="1">
      <c r="A416" s="146"/>
      <c r="B416" s="146"/>
      <c r="C416" s="507" t="s">
        <v>301</v>
      </c>
      <c r="D416" s="507"/>
      <c r="E416" s="507"/>
      <c r="F416" s="507"/>
      <c r="G416" s="507"/>
      <c r="H416" s="507"/>
      <c r="I416" s="507"/>
      <c r="J416" s="507"/>
      <c r="K416" s="507"/>
      <c r="L416" s="507"/>
      <c r="M416" s="146"/>
    </row>
    <row r="417" spans="1:13" ht="16.5" customHeight="1">
      <c r="A417" s="146" t="s">
        <v>302</v>
      </c>
      <c r="B417" s="146"/>
      <c r="C417" s="209"/>
      <c r="D417" s="209"/>
      <c r="E417" s="209"/>
      <c r="F417" s="209"/>
      <c r="G417" s="209"/>
      <c r="H417" s="209"/>
      <c r="I417" s="209"/>
      <c r="J417" s="209"/>
      <c r="K417" s="209"/>
      <c r="L417" s="209"/>
      <c r="M417" s="146"/>
    </row>
    <row r="418" spans="1:13" ht="15">
      <c r="A418" s="146" t="s">
        <v>277</v>
      </c>
      <c r="B418" s="146"/>
      <c r="C418" s="209"/>
      <c r="D418" s="209"/>
      <c r="E418" s="209"/>
      <c r="F418" s="209"/>
      <c r="G418" s="209"/>
      <c r="H418" s="209"/>
      <c r="I418" s="209"/>
      <c r="J418" s="209"/>
      <c r="K418" s="209"/>
      <c r="L418" s="209"/>
      <c r="M418" s="146"/>
    </row>
    <row r="419" spans="1:13" ht="24.75" customHeight="1">
      <c r="A419" s="157" t="s">
        <v>279</v>
      </c>
      <c r="B419" s="447" t="s">
        <v>303</v>
      </c>
      <c r="C419" s="447"/>
      <c r="D419" s="447"/>
      <c r="E419" s="447"/>
      <c r="F419" s="447"/>
      <c r="G419" s="447"/>
      <c r="H419" s="447"/>
      <c r="I419" s="447"/>
      <c r="J419" s="447"/>
      <c r="K419" s="463" t="s">
        <v>304</v>
      </c>
      <c r="L419" s="465"/>
      <c r="M419" s="165" t="s">
        <v>305</v>
      </c>
    </row>
    <row r="420" spans="1:13" ht="15">
      <c r="A420" s="166">
        <v>1</v>
      </c>
      <c r="B420" s="444" t="s">
        <v>306</v>
      </c>
      <c r="C420" s="444"/>
      <c r="D420" s="444"/>
      <c r="E420" s="444"/>
      <c r="F420" s="444"/>
      <c r="G420" s="444"/>
      <c r="H420" s="444"/>
      <c r="I420" s="444"/>
      <c r="J420" s="444"/>
      <c r="K420" s="447" t="s">
        <v>34</v>
      </c>
      <c r="L420" s="447"/>
      <c r="M420" s="157"/>
    </row>
    <row r="421" spans="1:13" ht="15" customHeight="1">
      <c r="A421" s="166" t="s">
        <v>173</v>
      </c>
      <c r="B421" s="455" t="s">
        <v>307</v>
      </c>
      <c r="C421" s="456"/>
      <c r="D421" s="456"/>
      <c r="E421" s="456"/>
      <c r="F421" s="456"/>
      <c r="G421" s="456"/>
      <c r="H421" s="456"/>
      <c r="I421" s="456"/>
      <c r="J421" s="457"/>
      <c r="K421" s="460">
        <v>8370359</v>
      </c>
      <c r="L421" s="462"/>
      <c r="M421" s="167">
        <f>K421*22%</f>
        <v>1841478.98</v>
      </c>
    </row>
    <row r="422" spans="1:13" ht="15">
      <c r="A422" s="166" t="s">
        <v>176</v>
      </c>
      <c r="B422" s="455" t="s">
        <v>308</v>
      </c>
      <c r="C422" s="456"/>
      <c r="D422" s="456"/>
      <c r="E422" s="456"/>
      <c r="F422" s="456"/>
      <c r="G422" s="456"/>
      <c r="H422" s="456"/>
      <c r="I422" s="456"/>
      <c r="J422" s="457"/>
      <c r="K422" s="460"/>
      <c r="L422" s="462"/>
      <c r="M422" s="167">
        <f>K422*22%</f>
        <v>0</v>
      </c>
    </row>
    <row r="423" spans="1:13" ht="24.75" customHeight="1">
      <c r="A423" s="166" t="s">
        <v>179</v>
      </c>
      <c r="B423" s="448" t="s">
        <v>309</v>
      </c>
      <c r="C423" s="449"/>
      <c r="D423" s="449"/>
      <c r="E423" s="449"/>
      <c r="F423" s="449"/>
      <c r="G423" s="449"/>
      <c r="H423" s="449"/>
      <c r="I423" s="449"/>
      <c r="J423" s="450"/>
      <c r="K423" s="460"/>
      <c r="L423" s="462"/>
      <c r="M423" s="167">
        <f>K423*22%</f>
        <v>0</v>
      </c>
    </row>
    <row r="424" spans="1:13" ht="15">
      <c r="A424" s="166" t="s">
        <v>10</v>
      </c>
      <c r="B424" s="455" t="s">
        <v>310</v>
      </c>
      <c r="C424" s="456"/>
      <c r="D424" s="456"/>
      <c r="E424" s="456"/>
      <c r="F424" s="456"/>
      <c r="G424" s="456"/>
      <c r="H424" s="456"/>
      <c r="I424" s="456"/>
      <c r="J424" s="457"/>
      <c r="K424" s="460" t="s">
        <v>34</v>
      </c>
      <c r="L424" s="462"/>
      <c r="M424" s="167"/>
    </row>
    <row r="425" spans="1:13" ht="27.75" customHeight="1">
      <c r="A425" s="166" t="s">
        <v>311</v>
      </c>
      <c r="B425" s="448" t="s">
        <v>312</v>
      </c>
      <c r="C425" s="449"/>
      <c r="D425" s="449"/>
      <c r="E425" s="449"/>
      <c r="F425" s="449"/>
      <c r="G425" s="449"/>
      <c r="H425" s="449"/>
      <c r="I425" s="449"/>
      <c r="J425" s="450"/>
      <c r="K425" s="460">
        <f>K421</f>
        <v>8370359</v>
      </c>
      <c r="L425" s="462"/>
      <c r="M425" s="167">
        <f>K425*2.9%</f>
        <v>242740.411</v>
      </c>
    </row>
    <row r="426" spans="1:13" ht="15">
      <c r="A426" s="166" t="s">
        <v>313</v>
      </c>
      <c r="B426" s="455" t="s">
        <v>314</v>
      </c>
      <c r="C426" s="456"/>
      <c r="D426" s="456"/>
      <c r="E426" s="456"/>
      <c r="F426" s="456"/>
      <c r="G426" s="456"/>
      <c r="H426" s="456"/>
      <c r="I426" s="456"/>
      <c r="J426" s="457"/>
      <c r="K426" s="460"/>
      <c r="L426" s="462"/>
      <c r="M426" s="167">
        <f>K426*22%</f>
        <v>0</v>
      </c>
    </row>
    <row r="427" spans="1:13" ht="23.25" customHeight="1">
      <c r="A427" s="166" t="s">
        <v>315</v>
      </c>
      <c r="B427" s="448" t="s">
        <v>316</v>
      </c>
      <c r="C427" s="449"/>
      <c r="D427" s="449"/>
      <c r="E427" s="449"/>
      <c r="F427" s="449"/>
      <c r="G427" s="449"/>
      <c r="H427" s="449"/>
      <c r="I427" s="449"/>
      <c r="J427" s="450"/>
      <c r="K427" s="460">
        <f>K421</f>
        <v>8370359</v>
      </c>
      <c r="L427" s="462"/>
      <c r="M427" s="167">
        <f>K427*0.2%</f>
        <v>16740.718</v>
      </c>
    </row>
    <row r="428" spans="1:13" ht="15">
      <c r="A428" s="166" t="s">
        <v>11</v>
      </c>
      <c r="B428" s="459" t="s">
        <v>317</v>
      </c>
      <c r="C428" s="459"/>
      <c r="D428" s="459"/>
      <c r="E428" s="459"/>
      <c r="F428" s="459"/>
      <c r="G428" s="459"/>
      <c r="H428" s="459"/>
      <c r="I428" s="459"/>
      <c r="J428" s="459"/>
      <c r="K428" s="460">
        <f>K421</f>
        <v>8370359</v>
      </c>
      <c r="L428" s="462"/>
      <c r="M428" s="167">
        <f>K428*5.1%-0.42</f>
        <v>426887.88899999997</v>
      </c>
    </row>
    <row r="429" spans="1:13" ht="13.5" customHeight="1">
      <c r="A429" s="166"/>
      <c r="B429" s="459" t="s">
        <v>318</v>
      </c>
      <c r="C429" s="459"/>
      <c r="D429" s="459"/>
      <c r="E429" s="459"/>
      <c r="F429" s="459"/>
      <c r="G429" s="459"/>
      <c r="H429" s="459"/>
      <c r="I429" s="459"/>
      <c r="J429" s="459"/>
      <c r="K429" s="458" t="s">
        <v>34</v>
      </c>
      <c r="L429" s="458"/>
      <c r="M429" s="168">
        <f>SUM(M421:M428)</f>
        <v>2527847.998</v>
      </c>
    </row>
    <row r="430" spans="1:13" ht="16.5" customHeight="1">
      <c r="A430" s="146"/>
      <c r="B430" s="146"/>
      <c r="C430" s="146"/>
      <c r="D430" s="146"/>
      <c r="E430" s="146"/>
      <c r="F430" s="146"/>
      <c r="G430" s="146"/>
      <c r="H430" s="146"/>
      <c r="I430" s="146"/>
      <c r="J430" s="146"/>
      <c r="K430" s="146"/>
      <c r="L430" s="146"/>
      <c r="M430" s="146"/>
    </row>
    <row r="431" spans="1:13" ht="15.75" customHeight="1">
      <c r="A431" s="146"/>
      <c r="B431" s="146"/>
      <c r="C431" s="146" t="s">
        <v>319</v>
      </c>
      <c r="D431" s="146"/>
      <c r="E431" s="146"/>
      <c r="F431" s="146"/>
      <c r="G431" s="146"/>
      <c r="H431" s="146"/>
      <c r="I431" s="146"/>
      <c r="J431" s="146"/>
      <c r="K431" s="146"/>
      <c r="L431" s="146"/>
      <c r="M431" s="146"/>
    </row>
    <row r="432" spans="1:13" ht="15.75" customHeight="1">
      <c r="A432" s="146" t="s">
        <v>373</v>
      </c>
      <c r="B432" s="146"/>
      <c r="C432" s="146"/>
      <c r="D432" s="146"/>
      <c r="E432" s="146"/>
      <c r="F432" s="146"/>
      <c r="G432" s="146"/>
      <c r="H432" s="146"/>
      <c r="I432" s="146"/>
      <c r="J432" s="146"/>
      <c r="K432" s="146"/>
      <c r="L432" s="146"/>
      <c r="M432" s="146"/>
    </row>
    <row r="433" spans="1:13" ht="15">
      <c r="A433" s="146" t="s">
        <v>320</v>
      </c>
      <c r="B433" s="146"/>
      <c r="C433" s="146"/>
      <c r="D433" s="146"/>
      <c r="E433" s="146"/>
      <c r="F433" s="146"/>
      <c r="G433" s="146"/>
      <c r="H433" s="146"/>
      <c r="I433" s="146"/>
      <c r="J433" s="146"/>
      <c r="K433" s="146"/>
      <c r="L433" s="146"/>
      <c r="M433" s="146"/>
    </row>
    <row r="434" spans="1:13" ht="26.25" customHeight="1">
      <c r="A434" s="157" t="s">
        <v>279</v>
      </c>
      <c r="B434" s="459" t="s">
        <v>299</v>
      </c>
      <c r="C434" s="459"/>
      <c r="D434" s="459"/>
      <c r="E434" s="459"/>
      <c r="F434" s="459" t="s">
        <v>321</v>
      </c>
      <c r="G434" s="459"/>
      <c r="H434" s="459" t="s">
        <v>322</v>
      </c>
      <c r="I434" s="459"/>
      <c r="J434" s="463" t="s">
        <v>323</v>
      </c>
      <c r="K434" s="464"/>
      <c r="L434" s="465"/>
      <c r="M434" s="146"/>
    </row>
    <row r="435" spans="1:13" ht="15">
      <c r="A435" s="157"/>
      <c r="B435" s="444" t="s">
        <v>324</v>
      </c>
      <c r="C435" s="444"/>
      <c r="D435" s="444"/>
      <c r="E435" s="444"/>
      <c r="F435" s="447">
        <v>104</v>
      </c>
      <c r="G435" s="447"/>
      <c r="H435" s="458">
        <v>4</v>
      </c>
      <c r="I435" s="458"/>
      <c r="J435" s="460">
        <v>520</v>
      </c>
      <c r="K435" s="475"/>
      <c r="L435" s="462"/>
      <c r="M435" s="146"/>
    </row>
    <row r="436" spans="1:13" ht="15">
      <c r="A436" s="157"/>
      <c r="B436" s="447" t="s">
        <v>298</v>
      </c>
      <c r="C436" s="447"/>
      <c r="D436" s="447"/>
      <c r="E436" s="447"/>
      <c r="F436" s="447" t="s">
        <v>34</v>
      </c>
      <c r="G436" s="447"/>
      <c r="H436" s="458" t="s">
        <v>34</v>
      </c>
      <c r="I436" s="458"/>
      <c r="J436" s="458">
        <f>J435</f>
        <v>520</v>
      </c>
      <c r="K436" s="458"/>
      <c r="L436" s="458"/>
      <c r="M436" s="146"/>
    </row>
    <row r="437" spans="1:13" ht="15">
      <c r="A437" s="169"/>
      <c r="B437" s="159"/>
      <c r="C437" s="159"/>
      <c r="D437" s="159"/>
      <c r="E437" s="159"/>
      <c r="F437" s="159"/>
      <c r="G437" s="159"/>
      <c r="H437" s="159"/>
      <c r="I437" s="159"/>
      <c r="J437" s="159"/>
      <c r="K437" s="159"/>
      <c r="L437" s="159"/>
      <c r="M437" s="146"/>
    </row>
    <row r="438" spans="1:13" ht="15">
      <c r="A438" s="146" t="s">
        <v>374</v>
      </c>
      <c r="B438" s="146"/>
      <c r="C438" s="146"/>
      <c r="D438" s="146"/>
      <c r="E438" s="146"/>
      <c r="F438" s="146"/>
      <c r="G438" s="146"/>
      <c r="H438" s="146"/>
      <c r="I438" s="146"/>
      <c r="J438" s="146"/>
      <c r="K438" s="146"/>
      <c r="L438" s="146"/>
      <c r="M438" s="146"/>
    </row>
    <row r="439" spans="1:13" ht="15">
      <c r="A439" s="146" t="s">
        <v>320</v>
      </c>
      <c r="B439" s="146"/>
      <c r="C439" s="146"/>
      <c r="D439" s="146"/>
      <c r="E439" s="146"/>
      <c r="F439" s="146"/>
      <c r="G439" s="146"/>
      <c r="H439" s="146"/>
      <c r="I439" s="146"/>
      <c r="J439" s="146"/>
      <c r="K439" s="146"/>
      <c r="L439" s="146"/>
      <c r="M439" s="146"/>
    </row>
    <row r="440" spans="1:13" ht="24" customHeight="1">
      <c r="A440" s="157" t="s">
        <v>279</v>
      </c>
      <c r="B440" s="459" t="s">
        <v>299</v>
      </c>
      <c r="C440" s="459"/>
      <c r="D440" s="459"/>
      <c r="E440" s="459"/>
      <c r="F440" s="459" t="s">
        <v>375</v>
      </c>
      <c r="G440" s="459"/>
      <c r="H440" s="459" t="s">
        <v>376</v>
      </c>
      <c r="I440" s="459"/>
      <c r="J440" s="463" t="s">
        <v>323</v>
      </c>
      <c r="K440" s="464"/>
      <c r="L440" s="465"/>
      <c r="M440" s="146"/>
    </row>
    <row r="441" spans="1:13" ht="15">
      <c r="A441" s="157"/>
      <c r="B441" s="455" t="s">
        <v>325</v>
      </c>
      <c r="C441" s="456"/>
      <c r="D441" s="456"/>
      <c r="E441" s="457"/>
      <c r="F441" s="458">
        <f>2952311.2*1.5</f>
        <v>4428466.800000001</v>
      </c>
      <c r="G441" s="458"/>
      <c r="H441" s="458">
        <v>0.01</v>
      </c>
      <c r="I441" s="458"/>
      <c r="J441" s="460">
        <v>44285</v>
      </c>
      <c r="K441" s="475"/>
      <c r="L441" s="462"/>
      <c r="M441" s="146"/>
    </row>
    <row r="442" spans="1:13" ht="15">
      <c r="A442" s="157"/>
      <c r="B442" s="447" t="s">
        <v>298</v>
      </c>
      <c r="C442" s="447"/>
      <c r="D442" s="447"/>
      <c r="E442" s="447"/>
      <c r="F442" s="447" t="s">
        <v>34</v>
      </c>
      <c r="G442" s="447"/>
      <c r="H442" s="458" t="s">
        <v>34</v>
      </c>
      <c r="I442" s="458"/>
      <c r="J442" s="458">
        <f>J441</f>
        <v>44285</v>
      </c>
      <c r="K442" s="458"/>
      <c r="L442" s="458"/>
      <c r="M442" s="146"/>
    </row>
    <row r="443" spans="1:13" ht="15">
      <c r="A443" s="169"/>
      <c r="B443" s="159"/>
      <c r="C443" s="159"/>
      <c r="D443" s="159"/>
      <c r="E443" s="159"/>
      <c r="F443" s="159"/>
      <c r="G443" s="159"/>
      <c r="H443" s="160"/>
      <c r="I443" s="160"/>
      <c r="J443" s="160"/>
      <c r="K443" s="160"/>
      <c r="L443" s="160"/>
      <c r="M443" s="146"/>
    </row>
    <row r="444" spans="1:13" ht="15" customHeight="1">
      <c r="A444" s="146"/>
      <c r="B444" s="146"/>
      <c r="C444" s="146" t="s">
        <v>326</v>
      </c>
      <c r="D444" s="146"/>
      <c r="E444" s="146"/>
      <c r="F444" s="146"/>
      <c r="G444" s="146"/>
      <c r="H444" s="146"/>
      <c r="I444" s="146"/>
      <c r="J444" s="146"/>
      <c r="K444" s="146"/>
      <c r="L444" s="146"/>
      <c r="M444" s="146"/>
    </row>
    <row r="445" spans="1:13" ht="15" customHeight="1">
      <c r="A445" s="146" t="s">
        <v>480</v>
      </c>
      <c r="B445" s="146"/>
      <c r="C445" s="146"/>
      <c r="D445" s="146"/>
      <c r="E445" s="146"/>
      <c r="F445" s="146"/>
      <c r="G445" s="146"/>
      <c r="H445" s="146"/>
      <c r="I445" s="146"/>
      <c r="J445" s="146"/>
      <c r="K445" s="146"/>
      <c r="L445" s="146"/>
      <c r="M445" s="146"/>
    </row>
    <row r="446" spans="1:13" ht="15" customHeight="1">
      <c r="A446" s="146"/>
      <c r="B446" s="146"/>
      <c r="C446" s="146"/>
      <c r="D446" s="146"/>
      <c r="E446" s="146"/>
      <c r="F446" s="146"/>
      <c r="G446" s="146"/>
      <c r="H446" s="146"/>
      <c r="I446" s="146"/>
      <c r="J446" s="146"/>
      <c r="K446" s="146"/>
      <c r="L446" s="146"/>
      <c r="M446" s="146"/>
    </row>
    <row r="447" spans="1:13" ht="15" customHeight="1">
      <c r="A447" s="146"/>
      <c r="B447" s="146"/>
      <c r="C447" s="146" t="s">
        <v>377</v>
      </c>
      <c r="D447" s="146"/>
      <c r="E447" s="146"/>
      <c r="F447" s="146"/>
      <c r="G447" s="146"/>
      <c r="H447" s="146"/>
      <c r="I447" s="146"/>
      <c r="J447" s="146"/>
      <c r="K447" s="146"/>
      <c r="L447" s="146"/>
      <c r="M447" s="146"/>
    </row>
    <row r="448" spans="1:13" ht="15" customHeight="1">
      <c r="A448" s="146" t="s">
        <v>320</v>
      </c>
      <c r="B448" s="146"/>
      <c r="C448" s="146"/>
      <c r="D448" s="146"/>
      <c r="E448" s="146"/>
      <c r="F448" s="146"/>
      <c r="G448" s="146"/>
      <c r="H448" s="146"/>
      <c r="I448" s="146"/>
      <c r="J448" s="146"/>
      <c r="K448" s="146"/>
      <c r="L448" s="146"/>
      <c r="M448" s="146"/>
    </row>
    <row r="449" spans="1:14" ht="33.75" customHeight="1">
      <c r="A449" s="157" t="s">
        <v>279</v>
      </c>
      <c r="B449" s="447" t="s">
        <v>299</v>
      </c>
      <c r="C449" s="447"/>
      <c r="D449" s="447"/>
      <c r="E449" s="447"/>
      <c r="F449" s="447"/>
      <c r="G449" s="165" t="s">
        <v>327</v>
      </c>
      <c r="H449" s="463" t="s">
        <v>328</v>
      </c>
      <c r="I449" s="465"/>
      <c r="J449" s="463" t="s">
        <v>329</v>
      </c>
      <c r="K449" s="465"/>
      <c r="L449" s="463" t="s">
        <v>330</v>
      </c>
      <c r="M449" s="464"/>
      <c r="N449" s="170"/>
    </row>
    <row r="450" spans="1:14" ht="15" customHeight="1">
      <c r="A450" s="157"/>
      <c r="B450" s="444" t="s">
        <v>331</v>
      </c>
      <c r="C450" s="444"/>
      <c r="D450" s="444"/>
      <c r="E450" s="444"/>
      <c r="F450" s="444"/>
      <c r="G450" s="157">
        <v>1</v>
      </c>
      <c r="H450" s="447">
        <v>7</v>
      </c>
      <c r="I450" s="447"/>
      <c r="J450" s="458">
        <v>1259.66</v>
      </c>
      <c r="K450" s="458"/>
      <c r="L450" s="458">
        <v>8500</v>
      </c>
      <c r="M450" s="460"/>
      <c r="N450" s="171"/>
    </row>
    <row r="451" spans="1:14" ht="15" customHeight="1">
      <c r="A451" s="157"/>
      <c r="B451" s="444" t="s">
        <v>398</v>
      </c>
      <c r="C451" s="444"/>
      <c r="D451" s="444"/>
      <c r="E451" s="444"/>
      <c r="F451" s="444"/>
      <c r="G451" s="157">
        <v>1</v>
      </c>
      <c r="H451" s="447">
        <v>2</v>
      </c>
      <c r="I451" s="447"/>
      <c r="J451" s="458">
        <v>3900</v>
      </c>
      <c r="K451" s="458"/>
      <c r="L451" s="458">
        <v>7800</v>
      </c>
      <c r="M451" s="460"/>
      <c r="N451" s="170"/>
    </row>
    <row r="452" spans="1:13" ht="15" customHeight="1">
      <c r="A452" s="157"/>
      <c r="B452" s="447" t="s">
        <v>300</v>
      </c>
      <c r="C452" s="447"/>
      <c r="D452" s="447"/>
      <c r="E452" s="447"/>
      <c r="F452" s="447"/>
      <c r="G452" s="206" t="s">
        <v>34</v>
      </c>
      <c r="H452" s="447" t="s">
        <v>34</v>
      </c>
      <c r="I452" s="447"/>
      <c r="J452" s="458" t="s">
        <v>34</v>
      </c>
      <c r="K452" s="458"/>
      <c r="L452" s="458">
        <f>L450+L451</f>
        <v>16300</v>
      </c>
      <c r="M452" s="460"/>
    </row>
    <row r="453" spans="1:13" ht="15" customHeight="1">
      <c r="A453" s="146"/>
      <c r="B453" s="146"/>
      <c r="C453" s="146"/>
      <c r="D453" s="146"/>
      <c r="E453" s="146"/>
      <c r="F453" s="146"/>
      <c r="G453" s="146"/>
      <c r="H453" s="146"/>
      <c r="I453" s="146"/>
      <c r="J453" s="146"/>
      <c r="K453" s="146"/>
      <c r="L453" s="146"/>
      <c r="M453" s="146"/>
    </row>
    <row r="454" spans="1:13" ht="15" customHeight="1">
      <c r="A454" s="146"/>
      <c r="B454" s="146"/>
      <c r="C454" s="146" t="s">
        <v>378</v>
      </c>
      <c r="D454" s="146"/>
      <c r="E454" s="146"/>
      <c r="F454" s="146"/>
      <c r="G454" s="146"/>
      <c r="H454" s="146"/>
      <c r="I454" s="146"/>
      <c r="J454" s="146"/>
      <c r="K454" s="146"/>
      <c r="L454" s="146"/>
      <c r="M454" s="146"/>
    </row>
    <row r="455" spans="1:13" ht="15" customHeight="1">
      <c r="A455" s="146" t="s">
        <v>320</v>
      </c>
      <c r="B455" s="146"/>
      <c r="C455" s="146"/>
      <c r="D455" s="146"/>
      <c r="E455" s="146"/>
      <c r="F455" s="146"/>
      <c r="G455" s="146"/>
      <c r="H455" s="146"/>
      <c r="I455" s="146"/>
      <c r="J455" s="146"/>
      <c r="K455" s="146"/>
      <c r="L455" s="146"/>
      <c r="M455" s="146"/>
    </row>
    <row r="456" spans="1:13" ht="24" customHeight="1">
      <c r="A456" s="157" t="s">
        <v>279</v>
      </c>
      <c r="B456" s="447" t="s">
        <v>0</v>
      </c>
      <c r="C456" s="447"/>
      <c r="D456" s="447"/>
      <c r="E456" s="447"/>
      <c r="F456" s="459" t="s">
        <v>379</v>
      </c>
      <c r="G456" s="459"/>
      <c r="H456" s="459" t="s">
        <v>332</v>
      </c>
      <c r="I456" s="459"/>
      <c r="J456" s="447" t="s">
        <v>333</v>
      </c>
      <c r="K456" s="447"/>
      <c r="L456" s="459" t="s">
        <v>334</v>
      </c>
      <c r="M456" s="459"/>
    </row>
    <row r="457" spans="1:13" ht="15" customHeight="1">
      <c r="A457" s="157"/>
      <c r="B457" s="444" t="s">
        <v>380</v>
      </c>
      <c r="C457" s="444"/>
      <c r="D457" s="444"/>
      <c r="E457" s="444"/>
      <c r="F457" s="458">
        <f>L457/H457</f>
        <v>54410.96153846154</v>
      </c>
      <c r="G457" s="458"/>
      <c r="H457" s="458">
        <v>5.2</v>
      </c>
      <c r="I457" s="458"/>
      <c r="J457" s="458"/>
      <c r="K457" s="458"/>
      <c r="L457" s="460">
        <v>282937</v>
      </c>
      <c r="M457" s="461"/>
    </row>
    <row r="458" spans="1:13" ht="15" customHeight="1">
      <c r="A458" s="157"/>
      <c r="B458" s="444" t="s">
        <v>381</v>
      </c>
      <c r="C458" s="444"/>
      <c r="D458" s="444"/>
      <c r="E458" s="444"/>
      <c r="F458" s="458">
        <f>L458/H458</f>
        <v>515.5550130855129</v>
      </c>
      <c r="G458" s="458"/>
      <c r="H458" s="458">
        <v>1761.49</v>
      </c>
      <c r="I458" s="458"/>
      <c r="J458" s="458"/>
      <c r="K458" s="458"/>
      <c r="L458" s="460">
        <v>908145</v>
      </c>
      <c r="M458" s="461"/>
    </row>
    <row r="459" spans="1:13" ht="15" customHeight="1">
      <c r="A459" s="157"/>
      <c r="B459" s="447" t="s">
        <v>300</v>
      </c>
      <c r="C459" s="447"/>
      <c r="D459" s="447"/>
      <c r="E459" s="447"/>
      <c r="F459" s="458" t="s">
        <v>34</v>
      </c>
      <c r="G459" s="458"/>
      <c r="H459" s="458" t="s">
        <v>34</v>
      </c>
      <c r="I459" s="458"/>
      <c r="J459" s="458" t="s">
        <v>34</v>
      </c>
      <c r="K459" s="458"/>
      <c r="L459" s="458">
        <f>SUM(L457:M458)</f>
        <v>1191082</v>
      </c>
      <c r="M459" s="458"/>
    </row>
    <row r="460" spans="1:13" ht="15" customHeight="1">
      <c r="A460" s="146"/>
      <c r="B460" s="146"/>
      <c r="C460" s="146"/>
      <c r="D460" s="146"/>
      <c r="E460" s="146"/>
      <c r="F460" s="146"/>
      <c r="G460" s="146"/>
      <c r="H460" s="146"/>
      <c r="I460" s="146"/>
      <c r="J460" s="146"/>
      <c r="K460" s="146"/>
      <c r="L460" s="146"/>
      <c r="M460" s="146"/>
    </row>
    <row r="461" spans="1:13" ht="15" customHeight="1">
      <c r="A461" s="146"/>
      <c r="B461" s="146"/>
      <c r="C461" s="146" t="s">
        <v>378</v>
      </c>
      <c r="D461" s="146"/>
      <c r="E461" s="146"/>
      <c r="F461" s="146"/>
      <c r="G461" s="146"/>
      <c r="H461" s="146"/>
      <c r="I461" s="146"/>
      <c r="J461" s="146"/>
      <c r="K461" s="146"/>
      <c r="L461" s="146"/>
      <c r="M461" s="146"/>
    </row>
    <row r="462" spans="1:13" ht="15" customHeight="1">
      <c r="A462" s="146" t="s">
        <v>320</v>
      </c>
      <c r="B462" s="146"/>
      <c r="C462" s="146"/>
      <c r="D462" s="146"/>
      <c r="E462" s="146"/>
      <c r="F462" s="146"/>
      <c r="G462" s="146"/>
      <c r="H462" s="146"/>
      <c r="I462" s="146"/>
      <c r="J462" s="146"/>
      <c r="K462" s="146"/>
      <c r="L462" s="146"/>
      <c r="M462" s="146"/>
    </row>
    <row r="463" spans="1:13" ht="24" customHeight="1">
      <c r="A463" s="157" t="s">
        <v>279</v>
      </c>
      <c r="B463" s="447" t="s">
        <v>0</v>
      </c>
      <c r="C463" s="447"/>
      <c r="D463" s="447"/>
      <c r="E463" s="447"/>
      <c r="F463" s="459" t="s">
        <v>379</v>
      </c>
      <c r="G463" s="459"/>
      <c r="H463" s="459" t="s">
        <v>332</v>
      </c>
      <c r="I463" s="459"/>
      <c r="J463" s="447" t="s">
        <v>333</v>
      </c>
      <c r="K463" s="447"/>
      <c r="L463" s="459" t="s">
        <v>334</v>
      </c>
      <c r="M463" s="459"/>
    </row>
    <row r="464" spans="1:13" ht="15" customHeight="1">
      <c r="A464" s="157"/>
      <c r="B464" s="444" t="s">
        <v>382</v>
      </c>
      <c r="C464" s="444"/>
      <c r="D464" s="444"/>
      <c r="E464" s="444"/>
      <c r="F464" s="458">
        <f>L464/H464</f>
        <v>1503.7568306010928</v>
      </c>
      <c r="G464" s="458"/>
      <c r="H464" s="458">
        <v>29.28</v>
      </c>
      <c r="I464" s="458"/>
      <c r="J464" s="458"/>
      <c r="K464" s="458"/>
      <c r="L464" s="460">
        <v>44030</v>
      </c>
      <c r="M464" s="461"/>
    </row>
    <row r="465" spans="1:13" ht="15" customHeight="1">
      <c r="A465" s="157"/>
      <c r="B465" s="455" t="s">
        <v>383</v>
      </c>
      <c r="C465" s="456"/>
      <c r="D465" s="456"/>
      <c r="E465" s="457"/>
      <c r="F465" s="458">
        <f>L465/H465</f>
        <v>93.34296028880867</v>
      </c>
      <c r="G465" s="458"/>
      <c r="H465" s="458">
        <v>69.25</v>
      </c>
      <c r="I465" s="458"/>
      <c r="J465" s="458"/>
      <c r="K465" s="458"/>
      <c r="L465" s="460">
        <v>6464</v>
      </c>
      <c r="M465" s="461"/>
    </row>
    <row r="466" spans="1:13" ht="15" customHeight="1">
      <c r="A466" s="157"/>
      <c r="B466" s="455" t="s">
        <v>384</v>
      </c>
      <c r="C466" s="456"/>
      <c r="D466" s="456"/>
      <c r="E466" s="457"/>
      <c r="F466" s="460">
        <f>L466/H466</f>
        <v>3.177744944615896</v>
      </c>
      <c r="G466" s="462"/>
      <c r="H466" s="460">
        <v>5719.15</v>
      </c>
      <c r="I466" s="462"/>
      <c r="J466" s="460"/>
      <c r="K466" s="462"/>
      <c r="L466" s="460">
        <v>18174</v>
      </c>
      <c r="M466" s="462"/>
    </row>
    <row r="467" spans="1:13" ht="15" customHeight="1">
      <c r="A467" s="157"/>
      <c r="B467" s="447" t="s">
        <v>300</v>
      </c>
      <c r="C467" s="447"/>
      <c r="D467" s="447"/>
      <c r="E467" s="447"/>
      <c r="F467" s="458" t="s">
        <v>34</v>
      </c>
      <c r="G467" s="458"/>
      <c r="H467" s="458" t="s">
        <v>34</v>
      </c>
      <c r="I467" s="458"/>
      <c r="J467" s="458" t="s">
        <v>34</v>
      </c>
      <c r="K467" s="458"/>
      <c r="L467" s="458">
        <f>SUM(L464:M466)</f>
        <v>68668</v>
      </c>
      <c r="M467" s="458"/>
    </row>
    <row r="468" spans="1:13" ht="15" customHeight="1">
      <c r="A468" s="146"/>
      <c r="B468" s="146"/>
      <c r="C468" s="146"/>
      <c r="D468" s="146"/>
      <c r="E468" s="146"/>
      <c r="F468" s="146"/>
      <c r="G468" s="146"/>
      <c r="H468" s="146"/>
      <c r="I468" s="146"/>
      <c r="J468" s="146"/>
      <c r="K468" s="146"/>
      <c r="L468" s="146"/>
      <c r="M468" s="146"/>
    </row>
    <row r="469" spans="1:13" ht="15" customHeight="1">
      <c r="A469" s="146"/>
      <c r="B469" s="146"/>
      <c r="C469" s="146" t="s">
        <v>385</v>
      </c>
      <c r="D469" s="146"/>
      <c r="E469" s="146"/>
      <c r="F469" s="146"/>
      <c r="G469" s="146"/>
      <c r="H469" s="146"/>
      <c r="I469" s="146"/>
      <c r="J469" s="146"/>
      <c r="K469" s="146"/>
      <c r="L469" s="146"/>
      <c r="M469" s="146"/>
    </row>
    <row r="470" spans="1:13" ht="15" customHeight="1">
      <c r="A470" s="146" t="s">
        <v>320</v>
      </c>
      <c r="B470" s="146"/>
      <c r="C470" s="146"/>
      <c r="D470" s="146"/>
      <c r="E470" s="146"/>
      <c r="F470" s="146"/>
      <c r="G470" s="146"/>
      <c r="H470" s="146"/>
      <c r="I470" s="146"/>
      <c r="J470" s="146"/>
      <c r="K470" s="146"/>
      <c r="L470" s="146"/>
      <c r="M470" s="146"/>
    </row>
    <row r="471" spans="1:13" ht="23.25" customHeight="1">
      <c r="A471" s="157" t="s">
        <v>279</v>
      </c>
      <c r="B471" s="447" t="s">
        <v>299</v>
      </c>
      <c r="C471" s="447"/>
      <c r="D471" s="447"/>
      <c r="E471" s="447"/>
      <c r="F471" s="447"/>
      <c r="G471" s="447" t="s">
        <v>386</v>
      </c>
      <c r="H471" s="447"/>
      <c r="I471" s="459" t="s">
        <v>335</v>
      </c>
      <c r="J471" s="459"/>
      <c r="K471" s="459" t="s">
        <v>336</v>
      </c>
      <c r="L471" s="459"/>
      <c r="M471" s="146"/>
    </row>
    <row r="472" spans="1:13" ht="15" customHeight="1">
      <c r="A472" s="157"/>
      <c r="B472" s="444" t="s">
        <v>337</v>
      </c>
      <c r="C472" s="444"/>
      <c r="D472" s="444"/>
      <c r="E472" s="444"/>
      <c r="F472" s="444"/>
      <c r="G472" s="447">
        <f>K472/I472</f>
        <v>300</v>
      </c>
      <c r="H472" s="447"/>
      <c r="I472" s="458">
        <v>6</v>
      </c>
      <c r="J472" s="458"/>
      <c r="K472" s="458">
        <v>1800</v>
      </c>
      <c r="L472" s="458"/>
      <c r="M472" s="146"/>
    </row>
    <row r="473" spans="1:13" ht="15" customHeight="1">
      <c r="A473" s="157"/>
      <c r="B473" s="444" t="s">
        <v>338</v>
      </c>
      <c r="C473" s="444"/>
      <c r="D473" s="444"/>
      <c r="E473" s="444"/>
      <c r="F473" s="444"/>
      <c r="G473" s="447">
        <v>2968</v>
      </c>
      <c r="H473" s="447"/>
      <c r="I473" s="458">
        <v>1</v>
      </c>
      <c r="J473" s="458"/>
      <c r="K473" s="458">
        <v>3500</v>
      </c>
      <c r="L473" s="458"/>
      <c r="M473" s="146"/>
    </row>
    <row r="474" spans="1:13" ht="15" customHeight="1">
      <c r="A474" s="157"/>
      <c r="B474" s="444" t="s">
        <v>387</v>
      </c>
      <c r="C474" s="444"/>
      <c r="D474" s="444"/>
      <c r="E474" s="444"/>
      <c r="F474" s="444"/>
      <c r="G474" s="445">
        <f>K474/I474</f>
        <v>500</v>
      </c>
      <c r="H474" s="445"/>
      <c r="I474" s="458">
        <v>6</v>
      </c>
      <c r="J474" s="458"/>
      <c r="K474" s="458">
        <v>3000</v>
      </c>
      <c r="L474" s="458"/>
      <c r="M474" s="146"/>
    </row>
    <row r="475" spans="1:12" ht="15" customHeight="1">
      <c r="A475" s="157"/>
      <c r="B475" s="444" t="s">
        <v>352</v>
      </c>
      <c r="C475" s="444"/>
      <c r="D475" s="444"/>
      <c r="E475" s="444"/>
      <c r="F475" s="444"/>
      <c r="G475" s="447">
        <f>K475/I475</f>
        <v>5000</v>
      </c>
      <c r="H475" s="447"/>
      <c r="I475" s="458">
        <v>1</v>
      </c>
      <c r="J475" s="458"/>
      <c r="K475" s="458">
        <v>5000</v>
      </c>
      <c r="L475" s="458"/>
    </row>
    <row r="476" spans="1:12" ht="22.5" customHeight="1">
      <c r="A476" s="157"/>
      <c r="B476" s="448" t="s">
        <v>390</v>
      </c>
      <c r="C476" s="449"/>
      <c r="D476" s="449"/>
      <c r="E476" s="449"/>
      <c r="F476" s="450"/>
      <c r="G476" s="447">
        <v>1500</v>
      </c>
      <c r="H476" s="447"/>
      <c r="I476" s="446">
        <f>K476/G476</f>
        <v>1</v>
      </c>
      <c r="J476" s="446"/>
      <c r="K476" s="446">
        <v>1500</v>
      </c>
      <c r="L476" s="446"/>
    </row>
    <row r="477" spans="1:12" ht="15" customHeight="1">
      <c r="A477" s="157"/>
      <c r="B477" s="447" t="s">
        <v>300</v>
      </c>
      <c r="C477" s="447"/>
      <c r="D477" s="447"/>
      <c r="E477" s="447"/>
      <c r="F477" s="447"/>
      <c r="G477" s="447" t="s">
        <v>34</v>
      </c>
      <c r="H477" s="447"/>
      <c r="I477" s="458" t="s">
        <v>34</v>
      </c>
      <c r="J477" s="458"/>
      <c r="K477" s="458">
        <f>SUM(K472:K476)</f>
        <v>14800</v>
      </c>
      <c r="L477" s="458"/>
    </row>
    <row r="478" ht="15" customHeight="1"/>
    <row r="479" spans="1:12" ht="15" customHeight="1">
      <c r="A479" s="146"/>
      <c r="B479" s="146"/>
      <c r="C479" s="146" t="s">
        <v>388</v>
      </c>
      <c r="D479" s="146"/>
      <c r="E479" s="146"/>
      <c r="F479" s="146"/>
      <c r="G479" s="146"/>
      <c r="H479" s="146"/>
      <c r="I479" s="146"/>
      <c r="J479" s="146"/>
      <c r="K479" s="146"/>
      <c r="L479" s="146"/>
    </row>
    <row r="480" spans="1:12" ht="15.75" customHeight="1">
      <c r="A480" s="146" t="s">
        <v>320</v>
      </c>
      <c r="B480" s="146"/>
      <c r="C480" s="146"/>
      <c r="D480" s="146"/>
      <c r="E480" s="146"/>
      <c r="F480" s="146"/>
      <c r="G480" s="146"/>
      <c r="H480" s="146"/>
      <c r="I480" s="146"/>
      <c r="J480" s="146"/>
      <c r="K480" s="146"/>
      <c r="L480" s="146"/>
    </row>
    <row r="481" spans="1:12" ht="15" customHeight="1">
      <c r="A481" s="157" t="s">
        <v>279</v>
      </c>
      <c r="B481" s="447" t="s">
        <v>299</v>
      </c>
      <c r="C481" s="447"/>
      <c r="D481" s="447"/>
      <c r="E481" s="447"/>
      <c r="F481" s="447"/>
      <c r="G481" s="447" t="s">
        <v>340</v>
      </c>
      <c r="H481" s="447"/>
      <c r="I481" s="459" t="s">
        <v>341</v>
      </c>
      <c r="J481" s="459"/>
      <c r="K481" s="459" t="s">
        <v>342</v>
      </c>
      <c r="L481" s="459"/>
    </row>
    <row r="482" spans="1:12" ht="15" customHeight="1">
      <c r="A482" s="157"/>
      <c r="B482" s="455" t="s">
        <v>397</v>
      </c>
      <c r="C482" s="456"/>
      <c r="D482" s="456"/>
      <c r="E482" s="456"/>
      <c r="F482" s="457"/>
      <c r="G482" s="447">
        <v>6</v>
      </c>
      <c r="H482" s="447"/>
      <c r="I482" s="458">
        <v>1168</v>
      </c>
      <c r="J482" s="458"/>
      <c r="K482" s="458">
        <v>7008</v>
      </c>
      <c r="L482" s="458"/>
    </row>
    <row r="483" spans="1:12" ht="15" customHeight="1">
      <c r="A483" s="157"/>
      <c r="B483" s="444" t="s">
        <v>343</v>
      </c>
      <c r="C483" s="444"/>
      <c r="D483" s="444"/>
      <c r="E483" s="444"/>
      <c r="F483" s="444"/>
      <c r="G483" s="447">
        <v>2</v>
      </c>
      <c r="H483" s="447"/>
      <c r="I483" s="458">
        <f>K483/G483</f>
        <v>2678</v>
      </c>
      <c r="J483" s="458"/>
      <c r="K483" s="458">
        <v>5356</v>
      </c>
      <c r="L483" s="458"/>
    </row>
    <row r="484" spans="1:12" ht="15" customHeight="1">
      <c r="A484" s="173"/>
      <c r="B484" s="447" t="s">
        <v>300</v>
      </c>
      <c r="C484" s="447"/>
      <c r="D484" s="447"/>
      <c r="E484" s="447"/>
      <c r="F484" s="447"/>
      <c r="G484" s="451" t="s">
        <v>34</v>
      </c>
      <c r="H484" s="452"/>
      <c r="I484" s="453" t="s">
        <v>34</v>
      </c>
      <c r="J484" s="454"/>
      <c r="K484" s="458">
        <f>SUM(K482:L483)</f>
        <v>12364</v>
      </c>
      <c r="L484" s="458"/>
    </row>
    <row r="485" spans="1:12" ht="15" customHeight="1">
      <c r="A485" s="170"/>
      <c r="B485" s="159"/>
      <c r="C485" s="159"/>
      <c r="D485" s="159"/>
      <c r="E485" s="159"/>
      <c r="F485" s="159"/>
      <c r="G485" s="174"/>
      <c r="H485" s="174"/>
      <c r="I485" s="175"/>
      <c r="J485" s="175"/>
      <c r="K485" s="160"/>
      <c r="L485" s="160"/>
    </row>
    <row r="486" spans="1:15" ht="15" customHeight="1">
      <c r="A486" s="146"/>
      <c r="B486" s="146"/>
      <c r="C486" s="146" t="s">
        <v>391</v>
      </c>
      <c r="D486" s="146"/>
      <c r="E486" s="146"/>
      <c r="F486" s="146"/>
      <c r="G486" s="146"/>
      <c r="H486" s="146"/>
      <c r="I486" s="146"/>
      <c r="J486" s="146"/>
      <c r="K486" s="146"/>
      <c r="L486" s="146"/>
      <c r="N486" s="170"/>
      <c r="O486" s="170"/>
    </row>
    <row r="487" spans="1:15" ht="15" customHeight="1">
      <c r="A487" s="146" t="s">
        <v>392</v>
      </c>
      <c r="B487" s="146"/>
      <c r="C487" s="146"/>
      <c r="D487" s="146"/>
      <c r="E487" s="146"/>
      <c r="F487" s="146"/>
      <c r="G487" s="146"/>
      <c r="H487" s="146"/>
      <c r="I487" s="146"/>
      <c r="J487" s="146"/>
      <c r="K487" s="146"/>
      <c r="L487" s="146"/>
      <c r="N487" s="171"/>
      <c r="O487" s="170"/>
    </row>
    <row r="488" spans="1:15" ht="21" customHeight="1">
      <c r="A488" s="157" t="s">
        <v>279</v>
      </c>
      <c r="B488" s="447" t="s">
        <v>299</v>
      </c>
      <c r="C488" s="447"/>
      <c r="D488" s="447"/>
      <c r="E488" s="447"/>
      <c r="F488" s="447"/>
      <c r="G488" s="463" t="s">
        <v>340</v>
      </c>
      <c r="H488" s="465"/>
      <c r="I488" s="459" t="s">
        <v>393</v>
      </c>
      <c r="J488" s="459"/>
      <c r="K488" s="459" t="s">
        <v>342</v>
      </c>
      <c r="L488" s="459"/>
      <c r="N488" s="170"/>
      <c r="O488" s="170"/>
    </row>
    <row r="489" spans="1:12" ht="24" customHeight="1">
      <c r="A489" s="157"/>
      <c r="B489" s="448" t="s">
        <v>394</v>
      </c>
      <c r="C489" s="449"/>
      <c r="D489" s="449"/>
      <c r="E489" s="449"/>
      <c r="F489" s="450"/>
      <c r="G489" s="447">
        <v>31</v>
      </c>
      <c r="H489" s="447"/>
      <c r="I489" s="458">
        <f>K489/G489/168</f>
        <v>0.20602918586789554</v>
      </c>
      <c r="J489" s="458"/>
      <c r="K489" s="458">
        <v>1073</v>
      </c>
      <c r="L489" s="458"/>
    </row>
    <row r="490" spans="1:12" ht="23.25" customHeight="1">
      <c r="A490" s="157"/>
      <c r="B490" s="448" t="s">
        <v>395</v>
      </c>
      <c r="C490" s="449"/>
      <c r="D490" s="449"/>
      <c r="E490" s="449"/>
      <c r="F490" s="450"/>
      <c r="G490" s="447">
        <v>45</v>
      </c>
      <c r="H490" s="447"/>
      <c r="I490" s="458">
        <f>K490/G490/247</f>
        <v>33.428699955015745</v>
      </c>
      <c r="J490" s="458"/>
      <c r="K490" s="466">
        <v>371560</v>
      </c>
      <c r="L490" s="466"/>
    </row>
    <row r="491" spans="1:15" s="137" customFormat="1" ht="18" customHeight="1">
      <c r="A491" s="157"/>
      <c r="B491" s="448" t="s">
        <v>496</v>
      </c>
      <c r="C491" s="449"/>
      <c r="D491" s="449"/>
      <c r="E491" s="449"/>
      <c r="F491" s="450"/>
      <c r="G491" s="447">
        <v>34</v>
      </c>
      <c r="H491" s="447"/>
      <c r="I491" s="446">
        <v>0.3</v>
      </c>
      <c r="J491" s="446"/>
      <c r="K491" s="446">
        <v>2172</v>
      </c>
      <c r="L491" s="446"/>
      <c r="M491" s="141"/>
      <c r="N491" s="141"/>
      <c r="O491" s="141"/>
    </row>
    <row r="492" spans="1:12" ht="15" customHeight="1">
      <c r="A492" s="157"/>
      <c r="B492" s="447" t="s">
        <v>300</v>
      </c>
      <c r="C492" s="447"/>
      <c r="D492" s="447"/>
      <c r="E492" s="447"/>
      <c r="F492" s="447"/>
      <c r="G492" s="447" t="s">
        <v>34</v>
      </c>
      <c r="H492" s="447"/>
      <c r="I492" s="458" t="s">
        <v>34</v>
      </c>
      <c r="J492" s="458"/>
      <c r="K492" s="458">
        <f>SUM(K489:K491)</f>
        <v>374805</v>
      </c>
      <c r="L492" s="458"/>
    </row>
    <row r="493" spans="1:12" ht="15" customHeight="1">
      <c r="A493" s="170"/>
      <c r="B493" s="159"/>
      <c r="C493" s="159"/>
      <c r="D493" s="159"/>
      <c r="E493" s="159"/>
      <c r="F493" s="159"/>
      <c r="G493" s="174"/>
      <c r="H493" s="174"/>
      <c r="I493" s="175"/>
      <c r="J493" s="175"/>
      <c r="K493" s="160"/>
      <c r="L493" s="160"/>
    </row>
    <row r="494" spans="1:12" ht="15" customHeight="1">
      <c r="A494" s="146"/>
      <c r="B494" s="146"/>
      <c r="C494" s="146" t="s">
        <v>391</v>
      </c>
      <c r="D494" s="146"/>
      <c r="E494" s="146"/>
      <c r="F494" s="146"/>
      <c r="G494" s="146"/>
      <c r="H494" s="146"/>
      <c r="I494" s="146"/>
      <c r="J494" s="146"/>
      <c r="K494" s="146"/>
      <c r="L494" s="146"/>
    </row>
    <row r="495" spans="1:12" ht="15" customHeight="1">
      <c r="A495" s="146" t="s">
        <v>389</v>
      </c>
      <c r="B495" s="146"/>
      <c r="C495" s="146"/>
      <c r="D495" s="146"/>
      <c r="E495" s="146"/>
      <c r="F495" s="146"/>
      <c r="G495" s="146"/>
      <c r="H495" s="146"/>
      <c r="I495" s="146"/>
      <c r="J495" s="146"/>
      <c r="K495" s="146"/>
      <c r="L495" s="146"/>
    </row>
    <row r="496" spans="1:12" ht="15" customHeight="1">
      <c r="A496" s="157" t="s">
        <v>279</v>
      </c>
      <c r="B496" s="447" t="s">
        <v>299</v>
      </c>
      <c r="C496" s="447"/>
      <c r="D496" s="447"/>
      <c r="E496" s="447"/>
      <c r="F496" s="447"/>
      <c r="G496" s="447" t="s">
        <v>340</v>
      </c>
      <c r="H496" s="447"/>
      <c r="I496" s="459" t="s">
        <v>341</v>
      </c>
      <c r="J496" s="459"/>
      <c r="K496" s="459" t="s">
        <v>342</v>
      </c>
      <c r="L496" s="459"/>
    </row>
    <row r="497" spans="1:12" ht="25.5" customHeight="1">
      <c r="A497" s="157"/>
      <c r="B497" s="448" t="s">
        <v>396</v>
      </c>
      <c r="C497" s="449"/>
      <c r="D497" s="449"/>
      <c r="E497" s="449"/>
      <c r="F497" s="450"/>
      <c r="G497" s="447">
        <v>26</v>
      </c>
      <c r="H497" s="447"/>
      <c r="I497" s="446">
        <v>60</v>
      </c>
      <c r="J497" s="446"/>
      <c r="K497" s="446">
        <v>199584</v>
      </c>
      <c r="L497" s="446"/>
    </row>
    <row r="498" spans="1:15" s="137" customFormat="1" ht="15.75" customHeight="1">
      <c r="A498" s="157"/>
      <c r="B498" s="448" t="s">
        <v>497</v>
      </c>
      <c r="C498" s="449"/>
      <c r="D498" s="449"/>
      <c r="E498" s="449"/>
      <c r="F498" s="450"/>
      <c r="G498" s="447">
        <v>34</v>
      </c>
      <c r="H498" s="447"/>
      <c r="I498" s="446">
        <v>15.92</v>
      </c>
      <c r="J498" s="446"/>
      <c r="K498" s="446">
        <v>95109</v>
      </c>
      <c r="L498" s="446"/>
      <c r="M498" s="141"/>
      <c r="N498" s="141"/>
      <c r="O498" s="141"/>
    </row>
    <row r="499" spans="1:15" s="137" customFormat="1" ht="15" customHeight="1">
      <c r="A499" s="157"/>
      <c r="B499" s="448" t="s">
        <v>498</v>
      </c>
      <c r="C499" s="449"/>
      <c r="D499" s="449"/>
      <c r="E499" s="449"/>
      <c r="F499" s="450"/>
      <c r="G499" s="447">
        <v>28</v>
      </c>
      <c r="H499" s="447"/>
      <c r="I499" s="446">
        <v>120</v>
      </c>
      <c r="J499" s="446"/>
      <c r="K499" s="446">
        <v>70560</v>
      </c>
      <c r="L499" s="446"/>
      <c r="M499" s="141"/>
      <c r="N499" s="141"/>
      <c r="O499" s="141"/>
    </row>
    <row r="500" spans="1:15" s="137" customFormat="1" ht="16.5" customHeight="1">
      <c r="A500" s="157"/>
      <c r="B500" s="448" t="s">
        <v>496</v>
      </c>
      <c r="C500" s="449"/>
      <c r="D500" s="449"/>
      <c r="E500" s="449"/>
      <c r="F500" s="450"/>
      <c r="G500" s="447">
        <v>34</v>
      </c>
      <c r="H500" s="447"/>
      <c r="I500" s="446">
        <v>11.34</v>
      </c>
      <c r="J500" s="446"/>
      <c r="K500" s="446">
        <v>149287</v>
      </c>
      <c r="L500" s="446"/>
      <c r="M500" s="141"/>
      <c r="N500" s="141"/>
      <c r="O500" s="141"/>
    </row>
    <row r="501" spans="1:14" ht="15" customHeight="1">
      <c r="A501" s="157"/>
      <c r="B501" s="508" t="s">
        <v>346</v>
      </c>
      <c r="C501" s="508"/>
      <c r="D501" s="508"/>
      <c r="E501" s="508"/>
      <c r="F501" s="508"/>
      <c r="G501" s="447">
        <v>0</v>
      </c>
      <c r="H501" s="447"/>
      <c r="I501" s="458">
        <v>0</v>
      </c>
      <c r="J501" s="458"/>
      <c r="K501" s="458">
        <f>SUM(K497:K500)</f>
        <v>514540</v>
      </c>
      <c r="L501" s="458"/>
      <c r="N501" s="176"/>
    </row>
    <row r="502" spans="1:12" ht="13.5" customHeight="1">
      <c r="A502" s="169"/>
      <c r="B502" s="159"/>
      <c r="C502" s="159"/>
      <c r="D502" s="159"/>
      <c r="E502" s="159"/>
      <c r="F502" s="159"/>
      <c r="G502" s="159"/>
      <c r="H502" s="159"/>
      <c r="I502" s="160"/>
      <c r="J502" s="160"/>
      <c r="K502" s="160"/>
      <c r="L502" s="160"/>
    </row>
    <row r="503" spans="1:12" ht="15" customHeight="1">
      <c r="A503" s="146"/>
      <c r="B503" s="146"/>
      <c r="C503" s="146" t="s">
        <v>391</v>
      </c>
      <c r="D503" s="146"/>
      <c r="E503" s="146"/>
      <c r="F503" s="146"/>
      <c r="G503" s="146"/>
      <c r="H503" s="146"/>
      <c r="I503" s="146"/>
      <c r="J503" s="146"/>
      <c r="K503" s="146"/>
      <c r="L503" s="146"/>
    </row>
    <row r="504" spans="1:12" ht="15" customHeight="1">
      <c r="A504" s="146" t="s">
        <v>499</v>
      </c>
      <c r="B504" s="146"/>
      <c r="C504" s="146"/>
      <c r="D504" s="146"/>
      <c r="E504" s="146"/>
      <c r="F504" s="146"/>
      <c r="G504" s="146"/>
      <c r="H504" s="146"/>
      <c r="I504" s="146"/>
      <c r="J504" s="146"/>
      <c r="K504" s="146"/>
      <c r="L504" s="146"/>
    </row>
    <row r="505" spans="1:12" ht="15" customHeight="1">
      <c r="A505" s="157" t="s">
        <v>279</v>
      </c>
      <c r="B505" s="447" t="s">
        <v>299</v>
      </c>
      <c r="C505" s="447"/>
      <c r="D505" s="447"/>
      <c r="E505" s="447"/>
      <c r="F505" s="447"/>
      <c r="G505" s="447" t="s">
        <v>340</v>
      </c>
      <c r="H505" s="447"/>
      <c r="I505" s="459" t="s">
        <v>341</v>
      </c>
      <c r="J505" s="459"/>
      <c r="K505" s="459" t="s">
        <v>342</v>
      </c>
      <c r="L505" s="459"/>
    </row>
    <row r="506" spans="1:15" s="137" customFormat="1" ht="19.5" customHeight="1">
      <c r="A506" s="157"/>
      <c r="B506" s="448" t="s">
        <v>496</v>
      </c>
      <c r="C506" s="449"/>
      <c r="D506" s="449"/>
      <c r="E506" s="449"/>
      <c r="F506" s="450"/>
      <c r="G506" s="447">
        <v>34</v>
      </c>
      <c r="H506" s="447"/>
      <c r="I506" s="446">
        <v>48.36</v>
      </c>
      <c r="J506" s="446"/>
      <c r="K506" s="446">
        <v>284912</v>
      </c>
      <c r="L506" s="446"/>
      <c r="M506" s="141"/>
      <c r="N506" s="141"/>
      <c r="O506" s="141"/>
    </row>
    <row r="507" spans="1:14" ht="15" customHeight="1">
      <c r="A507" s="157"/>
      <c r="B507" s="508" t="s">
        <v>346</v>
      </c>
      <c r="C507" s="508"/>
      <c r="D507" s="508"/>
      <c r="E507" s="508"/>
      <c r="F507" s="508"/>
      <c r="G507" s="447">
        <v>0</v>
      </c>
      <c r="H507" s="447"/>
      <c r="I507" s="458">
        <v>0</v>
      </c>
      <c r="J507" s="458"/>
      <c r="K507" s="458">
        <f>SUM(K506:L506)</f>
        <v>284912</v>
      </c>
      <c r="L507" s="458"/>
      <c r="N507" s="176"/>
    </row>
    <row r="508" spans="1:14" ht="15" customHeight="1">
      <c r="A508" s="169"/>
      <c r="B508" s="177"/>
      <c r="C508" s="177"/>
      <c r="D508" s="177"/>
      <c r="E508" s="177"/>
      <c r="F508" s="177"/>
      <c r="G508" s="159"/>
      <c r="H508" s="159"/>
      <c r="I508" s="160"/>
      <c r="J508" s="160"/>
      <c r="K508" s="160"/>
      <c r="L508" s="160"/>
      <c r="N508" s="176"/>
    </row>
    <row r="509" spans="1:12" ht="15">
      <c r="A509" s="169"/>
      <c r="B509" s="169"/>
      <c r="C509" s="169"/>
      <c r="D509" s="146" t="s">
        <v>351</v>
      </c>
      <c r="E509" s="146"/>
      <c r="F509" s="146"/>
      <c r="G509" s="146"/>
      <c r="H509" s="146"/>
      <c r="I509" s="146"/>
      <c r="J509" s="146"/>
      <c r="K509" s="146"/>
      <c r="L509" s="169"/>
    </row>
    <row r="510" spans="1:12" ht="15">
      <c r="A510" s="146" t="s">
        <v>485</v>
      </c>
      <c r="B510" s="169"/>
      <c r="C510" s="169"/>
      <c r="D510" s="146"/>
      <c r="E510" s="146"/>
      <c r="F510" s="146"/>
      <c r="G510" s="146"/>
      <c r="H510" s="146"/>
      <c r="I510" s="146"/>
      <c r="J510" s="146"/>
      <c r="K510" s="146"/>
      <c r="L510" s="169"/>
    </row>
    <row r="511" spans="1:12" ht="15" customHeight="1">
      <c r="A511" s="157" t="s">
        <v>279</v>
      </c>
      <c r="B511" s="447" t="s">
        <v>299</v>
      </c>
      <c r="C511" s="447"/>
      <c r="D511" s="447"/>
      <c r="E511" s="447"/>
      <c r="F511" s="447"/>
      <c r="G511" s="447" t="s">
        <v>340</v>
      </c>
      <c r="H511" s="447"/>
      <c r="I511" s="459" t="s">
        <v>341</v>
      </c>
      <c r="J511" s="459"/>
      <c r="K511" s="459" t="s">
        <v>342</v>
      </c>
      <c r="L511" s="459"/>
    </row>
    <row r="512" spans="1:12" ht="15">
      <c r="A512" s="157"/>
      <c r="B512" s="444" t="s">
        <v>347</v>
      </c>
      <c r="C512" s="444"/>
      <c r="D512" s="444"/>
      <c r="E512" s="444"/>
      <c r="F512" s="444"/>
      <c r="G512" s="447"/>
      <c r="H512" s="447"/>
      <c r="I512" s="458"/>
      <c r="J512" s="458"/>
      <c r="K512" s="458">
        <f>19895.4+14043.84</f>
        <v>33939.240000000005</v>
      </c>
      <c r="L512" s="458"/>
    </row>
    <row r="513" spans="1:12" ht="15">
      <c r="A513" s="157"/>
      <c r="B513" s="444" t="s">
        <v>345</v>
      </c>
      <c r="C513" s="444"/>
      <c r="D513" s="444"/>
      <c r="E513" s="444"/>
      <c r="F513" s="444"/>
      <c r="G513" s="447"/>
      <c r="H513" s="447"/>
      <c r="I513" s="458"/>
      <c r="J513" s="458"/>
      <c r="K513" s="458">
        <f>378012.6+28725+354960</f>
        <v>761697.6</v>
      </c>
      <c r="L513" s="458"/>
    </row>
    <row r="514" spans="1:14" ht="15">
      <c r="A514" s="173"/>
      <c r="B514" s="502" t="s">
        <v>300</v>
      </c>
      <c r="C514" s="502"/>
      <c r="D514" s="502"/>
      <c r="E514" s="502"/>
      <c r="F514" s="502"/>
      <c r="G514" s="451" t="s">
        <v>34</v>
      </c>
      <c r="H514" s="452"/>
      <c r="I514" s="453" t="s">
        <v>34</v>
      </c>
      <c r="J514" s="454"/>
      <c r="K514" s="509">
        <f>SUM(K512:L513)</f>
        <v>795636.84</v>
      </c>
      <c r="L514" s="509"/>
      <c r="N514" s="176"/>
    </row>
    <row r="516" spans="1:14" ht="15" customHeight="1">
      <c r="A516" s="170"/>
      <c r="B516" s="159" t="s">
        <v>447</v>
      </c>
      <c r="C516" s="159"/>
      <c r="D516" s="159"/>
      <c r="E516" s="159"/>
      <c r="F516" s="159"/>
      <c r="G516" s="174"/>
      <c r="H516" s="174"/>
      <c r="I516" s="175"/>
      <c r="J516" s="175"/>
      <c r="K516" s="160"/>
      <c r="L516" s="160"/>
      <c r="N516" s="176"/>
    </row>
    <row r="517" spans="1:15" s="129" customFormat="1" ht="15" customHeight="1">
      <c r="A517" s="179"/>
      <c r="B517" s="477"/>
      <c r="C517" s="477"/>
      <c r="D517" s="477"/>
      <c r="E517" s="477"/>
      <c r="F517" s="477"/>
      <c r="G517" s="180" t="s">
        <v>353</v>
      </c>
      <c r="H517" s="181" t="s">
        <v>348</v>
      </c>
      <c r="I517" s="181" t="s">
        <v>448</v>
      </c>
      <c r="J517" s="182" t="s">
        <v>449</v>
      </c>
      <c r="K517" s="182" t="s">
        <v>450</v>
      </c>
      <c r="L517" s="180" t="s">
        <v>408</v>
      </c>
      <c r="M517" s="183"/>
      <c r="N517" s="184"/>
      <c r="O517" s="190"/>
    </row>
    <row r="518" spans="1:15" s="129" customFormat="1" ht="15" customHeight="1">
      <c r="A518" s="179"/>
      <c r="B518" s="476" t="s">
        <v>451</v>
      </c>
      <c r="C518" s="476"/>
      <c r="D518" s="476"/>
      <c r="E518" s="476"/>
      <c r="F518" s="476"/>
      <c r="G518" s="180">
        <v>299000</v>
      </c>
      <c r="H518" s="181">
        <v>299000</v>
      </c>
      <c r="I518" s="181">
        <v>299000</v>
      </c>
      <c r="J518" s="182">
        <v>299000</v>
      </c>
      <c r="K518" s="182">
        <v>184660.7</v>
      </c>
      <c r="L518" s="180">
        <f>SUM(F518:K518)</f>
        <v>1380660.7</v>
      </c>
      <c r="M518" s="183"/>
      <c r="N518" s="184"/>
      <c r="O518" s="190"/>
    </row>
    <row r="519" spans="1:14" ht="15" customHeight="1">
      <c r="A519" s="170"/>
      <c r="B519" s="159"/>
      <c r="C519" s="159"/>
      <c r="D519" s="159"/>
      <c r="E519" s="159"/>
      <c r="F519" s="159"/>
      <c r="G519" s="174"/>
      <c r="H519" s="174"/>
      <c r="I519" s="175"/>
      <c r="J519" s="175"/>
      <c r="K519" s="160"/>
      <c r="L519" s="160"/>
      <c r="N519" s="176"/>
    </row>
    <row r="520" spans="1:14" ht="15" customHeight="1">
      <c r="A520" s="170"/>
      <c r="B520" s="159"/>
      <c r="C520" s="159"/>
      <c r="D520" s="159"/>
      <c r="E520" s="159"/>
      <c r="F520" s="159"/>
      <c r="G520" s="174"/>
      <c r="H520" s="174"/>
      <c r="I520" s="175"/>
      <c r="J520" s="175"/>
      <c r="K520" s="160"/>
      <c r="L520" s="160"/>
      <c r="N520" s="176"/>
    </row>
    <row r="522" spans="1:6" ht="15">
      <c r="A522" s="139" t="s">
        <v>556</v>
      </c>
      <c r="B522" s="139"/>
      <c r="C522" s="139"/>
      <c r="D522" s="139"/>
      <c r="E522" s="139"/>
      <c r="F522" s="185"/>
    </row>
    <row r="523" spans="1:6" ht="15">
      <c r="A523" s="142" t="s">
        <v>349</v>
      </c>
      <c r="B523" s="142"/>
      <c r="C523" s="186"/>
      <c r="D523" s="187"/>
      <c r="E523" s="186"/>
      <c r="F523" s="142" t="s">
        <v>402</v>
      </c>
    </row>
    <row r="526" spans="1:6" ht="15.75" customHeight="1">
      <c r="A526" s="139"/>
      <c r="B526" s="139"/>
      <c r="C526" s="139"/>
      <c r="D526" s="139"/>
      <c r="E526" s="139"/>
      <c r="F526" s="185"/>
    </row>
    <row r="531" ht="28.5" customHeight="1"/>
  </sheetData>
  <sheetProtection/>
  <mergeCells count="1128">
    <mergeCell ref="B159:F159"/>
    <mergeCell ref="G159:H159"/>
    <mergeCell ref="I159:J159"/>
    <mergeCell ref="K159:L159"/>
    <mergeCell ref="B40:F40"/>
    <mergeCell ref="G40:H40"/>
    <mergeCell ref="I40:J40"/>
    <mergeCell ref="K40:L40"/>
    <mergeCell ref="B38:F38"/>
    <mergeCell ref="G38:H38"/>
    <mergeCell ref="I38:J38"/>
    <mergeCell ref="K38:L38"/>
    <mergeCell ref="B39:F39"/>
    <mergeCell ref="G39:H39"/>
    <mergeCell ref="I39:J39"/>
    <mergeCell ref="K39:L39"/>
    <mergeCell ref="B27:F27"/>
    <mergeCell ref="G27:H27"/>
    <mergeCell ref="I27:J27"/>
    <mergeCell ref="K27:L27"/>
    <mergeCell ref="K33:L33"/>
    <mergeCell ref="B158:F158"/>
    <mergeCell ref="G158:H158"/>
    <mergeCell ref="I158:J158"/>
    <mergeCell ref="K158:L158"/>
    <mergeCell ref="B156:F156"/>
    <mergeCell ref="G156:H156"/>
    <mergeCell ref="K156:L156"/>
    <mergeCell ref="I156:J156"/>
    <mergeCell ref="B181:F181"/>
    <mergeCell ref="G181:H181"/>
    <mergeCell ref="I181:J181"/>
    <mergeCell ref="K181:L181"/>
    <mergeCell ref="G166:H166"/>
    <mergeCell ref="I166:J166"/>
    <mergeCell ref="K166:L166"/>
    <mergeCell ref="I179:J179"/>
    <mergeCell ref="G179:H179"/>
    <mergeCell ref="B174:F174"/>
    <mergeCell ref="B144:F144"/>
    <mergeCell ref="G144:H144"/>
    <mergeCell ref="I144:J144"/>
    <mergeCell ref="K144:L144"/>
    <mergeCell ref="B155:F155"/>
    <mergeCell ref="G155:H155"/>
    <mergeCell ref="I155:J155"/>
    <mergeCell ref="K155:L155"/>
    <mergeCell ref="K154:L154"/>
    <mergeCell ref="I147:J147"/>
    <mergeCell ref="B507:F507"/>
    <mergeCell ref="G507:H507"/>
    <mergeCell ref="I507:J507"/>
    <mergeCell ref="K507:L507"/>
    <mergeCell ref="B505:F505"/>
    <mergeCell ref="G505:H505"/>
    <mergeCell ref="I505:J505"/>
    <mergeCell ref="K505:L505"/>
    <mergeCell ref="B506:F506"/>
    <mergeCell ref="G506:H506"/>
    <mergeCell ref="I143:J143"/>
    <mergeCell ref="K143:L143"/>
    <mergeCell ref="B499:F499"/>
    <mergeCell ref="G499:H499"/>
    <mergeCell ref="I499:J499"/>
    <mergeCell ref="K499:L499"/>
    <mergeCell ref="B359:F359"/>
    <mergeCell ref="G359:H359"/>
    <mergeCell ref="I359:J359"/>
    <mergeCell ref="K359:L359"/>
    <mergeCell ref="I506:J506"/>
    <mergeCell ref="K506:L506"/>
    <mergeCell ref="B500:F500"/>
    <mergeCell ref="G500:H500"/>
    <mergeCell ref="I500:J500"/>
    <mergeCell ref="K500:L500"/>
    <mergeCell ref="B501:F501"/>
    <mergeCell ref="K501:L501"/>
    <mergeCell ref="B360:F360"/>
    <mergeCell ref="G360:H360"/>
    <mergeCell ref="I360:J360"/>
    <mergeCell ref="K360:L360"/>
    <mergeCell ref="B491:F491"/>
    <mergeCell ref="G491:H491"/>
    <mergeCell ref="I491:J491"/>
    <mergeCell ref="B440:E440"/>
    <mergeCell ref="F440:G440"/>
    <mergeCell ref="F434:G434"/>
    <mergeCell ref="J436:L436"/>
    <mergeCell ref="B358:F358"/>
    <mergeCell ref="G358:H358"/>
    <mergeCell ref="I358:J358"/>
    <mergeCell ref="K358:L358"/>
    <mergeCell ref="B354:F354"/>
    <mergeCell ref="G354:H354"/>
    <mergeCell ref="I354:J354"/>
    <mergeCell ref="K354:L354"/>
    <mergeCell ref="H436:I436"/>
    <mergeCell ref="K352:L352"/>
    <mergeCell ref="B353:F353"/>
    <mergeCell ref="G353:H353"/>
    <mergeCell ref="I353:J353"/>
    <mergeCell ref="K353:L353"/>
    <mergeCell ref="B352:F352"/>
    <mergeCell ref="G352:H352"/>
    <mergeCell ref="G322:H322"/>
    <mergeCell ref="B329:F329"/>
    <mergeCell ref="B323:F323"/>
    <mergeCell ref="G323:H323"/>
    <mergeCell ref="G320:H320"/>
    <mergeCell ref="I352:J352"/>
    <mergeCell ref="I323:J323"/>
    <mergeCell ref="B330:F330"/>
    <mergeCell ref="G330:H330"/>
    <mergeCell ref="I330:J330"/>
    <mergeCell ref="F310:G310"/>
    <mergeCell ref="H310:I310"/>
    <mergeCell ref="J310:K310"/>
    <mergeCell ref="L310:M310"/>
    <mergeCell ref="B311:E311"/>
    <mergeCell ref="F311:G311"/>
    <mergeCell ref="B198:F198"/>
    <mergeCell ref="G198:H198"/>
    <mergeCell ref="I198:J198"/>
    <mergeCell ref="K198:L198"/>
    <mergeCell ref="I350:J350"/>
    <mergeCell ref="K350:L350"/>
    <mergeCell ref="B199:F199"/>
    <mergeCell ref="G199:H199"/>
    <mergeCell ref="I199:J199"/>
    <mergeCell ref="K199:L199"/>
    <mergeCell ref="G191:H191"/>
    <mergeCell ref="I191:J191"/>
    <mergeCell ref="K191:L191"/>
    <mergeCell ref="B197:F197"/>
    <mergeCell ref="G197:H197"/>
    <mergeCell ref="I197:J197"/>
    <mergeCell ref="K197:L197"/>
    <mergeCell ref="I193:J193"/>
    <mergeCell ref="G193:H193"/>
    <mergeCell ref="B192:F192"/>
    <mergeCell ref="I189:J189"/>
    <mergeCell ref="K189:L189"/>
    <mergeCell ref="B190:F190"/>
    <mergeCell ref="G190:H190"/>
    <mergeCell ref="I190:J190"/>
    <mergeCell ref="K190:L190"/>
    <mergeCell ref="G18:H18"/>
    <mergeCell ref="B188:F188"/>
    <mergeCell ref="I188:J188"/>
    <mergeCell ref="K142:L142"/>
    <mergeCell ref="I178:J178"/>
    <mergeCell ref="K188:L188"/>
    <mergeCell ref="K178:L178"/>
    <mergeCell ref="I165:J165"/>
    <mergeCell ref="I151:J151"/>
    <mergeCell ref="K151:L151"/>
    <mergeCell ref="L125:M125"/>
    <mergeCell ref="L124:M124"/>
    <mergeCell ref="H311:I311"/>
    <mergeCell ref="J311:K311"/>
    <mergeCell ref="L311:M311"/>
    <mergeCell ref="K187:L187"/>
    <mergeCell ref="G188:H188"/>
    <mergeCell ref="B275:J275"/>
    <mergeCell ref="G182:H182"/>
    <mergeCell ref="I182:J182"/>
    <mergeCell ref="K182:L182"/>
    <mergeCell ref="K183:L183"/>
    <mergeCell ref="I183:J183"/>
    <mergeCell ref="K174:L174"/>
    <mergeCell ref="K168:L168"/>
    <mergeCell ref="I180:J180"/>
    <mergeCell ref="K180:L180"/>
    <mergeCell ref="K179:L179"/>
    <mergeCell ref="K20:L20"/>
    <mergeCell ref="I25:J25"/>
    <mergeCell ref="K25:L25"/>
    <mergeCell ref="K34:L34"/>
    <mergeCell ref="I32:J32"/>
    <mergeCell ref="K32:L32"/>
    <mergeCell ref="I26:J26"/>
    <mergeCell ref="K21:L21"/>
    <mergeCell ref="K26:L26"/>
    <mergeCell ref="I21:J21"/>
    <mergeCell ref="B14:F14"/>
    <mergeCell ref="G20:H20"/>
    <mergeCell ref="B18:F18"/>
    <mergeCell ref="K18:L18"/>
    <mergeCell ref="G19:H19"/>
    <mergeCell ref="I19:J19"/>
    <mergeCell ref="I20:J20"/>
    <mergeCell ref="K14:L14"/>
    <mergeCell ref="I14:J14"/>
    <mergeCell ref="G14:H14"/>
    <mergeCell ref="B21:F21"/>
    <mergeCell ref="B33:F33"/>
    <mergeCell ref="G33:H33"/>
    <mergeCell ref="I33:J33"/>
    <mergeCell ref="B28:F28"/>
    <mergeCell ref="G28:H28"/>
    <mergeCell ref="B32:F32"/>
    <mergeCell ref="B25:F25"/>
    <mergeCell ref="B26:F26"/>
    <mergeCell ref="G21:H21"/>
    <mergeCell ref="B11:F11"/>
    <mergeCell ref="G11:H11"/>
    <mergeCell ref="I11:J11"/>
    <mergeCell ref="G13:H13"/>
    <mergeCell ref="G12:H12"/>
    <mergeCell ref="I12:J12"/>
    <mergeCell ref="I13:J13"/>
    <mergeCell ref="G25:H25"/>
    <mergeCell ref="K514:L514"/>
    <mergeCell ref="K11:L11"/>
    <mergeCell ref="I28:J28"/>
    <mergeCell ref="K28:L28"/>
    <mergeCell ref="I18:J18"/>
    <mergeCell ref="K12:L12"/>
    <mergeCell ref="K19:L19"/>
    <mergeCell ref="I34:J34"/>
    <mergeCell ref="K13:L13"/>
    <mergeCell ref="K511:L511"/>
    <mergeCell ref="G32:H32"/>
    <mergeCell ref="B34:F34"/>
    <mergeCell ref="G34:H34"/>
    <mergeCell ref="G511:H511"/>
    <mergeCell ref="B442:E442"/>
    <mergeCell ref="I498:J498"/>
    <mergeCell ref="G501:H501"/>
    <mergeCell ref="I501:J501"/>
    <mergeCell ref="K492:L492"/>
    <mergeCell ref="G26:H26"/>
    <mergeCell ref="B189:F189"/>
    <mergeCell ref="G189:H189"/>
    <mergeCell ref="B191:F191"/>
    <mergeCell ref="H440:I440"/>
    <mergeCell ref="B514:F514"/>
    <mergeCell ref="G514:H514"/>
    <mergeCell ref="I514:J514"/>
    <mergeCell ref="B498:F498"/>
    <mergeCell ref="G498:H498"/>
    <mergeCell ref="G513:H513"/>
    <mergeCell ref="I513:J513"/>
    <mergeCell ref="I511:J511"/>
    <mergeCell ref="B511:F511"/>
    <mergeCell ref="F442:G442"/>
    <mergeCell ref="H442:I442"/>
    <mergeCell ref="J442:L442"/>
    <mergeCell ref="B496:F496"/>
    <mergeCell ref="G496:H496"/>
    <mergeCell ref="B497:F497"/>
    <mergeCell ref="I154:J154"/>
    <mergeCell ref="B441:E441"/>
    <mergeCell ref="F441:G441"/>
    <mergeCell ref="H441:I441"/>
    <mergeCell ref="J441:L441"/>
    <mergeCell ref="J440:L440"/>
    <mergeCell ref="B436:E436"/>
    <mergeCell ref="F436:G436"/>
    <mergeCell ref="I187:J187"/>
    <mergeCell ref="B428:J428"/>
    <mergeCell ref="K513:L513"/>
    <mergeCell ref="B512:F512"/>
    <mergeCell ref="G512:H512"/>
    <mergeCell ref="I512:J512"/>
    <mergeCell ref="K512:L512"/>
    <mergeCell ref="B492:F492"/>
    <mergeCell ref="G492:H492"/>
    <mergeCell ref="I492:J492"/>
    <mergeCell ref="B513:F513"/>
    <mergeCell ref="I496:J496"/>
    <mergeCell ref="K428:L428"/>
    <mergeCell ref="B435:E435"/>
    <mergeCell ref="F435:G435"/>
    <mergeCell ref="H435:I435"/>
    <mergeCell ref="J435:L435"/>
    <mergeCell ref="B429:J429"/>
    <mergeCell ref="K429:L429"/>
    <mergeCell ref="B434:E434"/>
    <mergeCell ref="H434:I434"/>
    <mergeCell ref="J434:L434"/>
    <mergeCell ref="B420:J420"/>
    <mergeCell ref="K420:L420"/>
    <mergeCell ref="B421:J421"/>
    <mergeCell ref="K421:L421"/>
    <mergeCell ref="B422:J422"/>
    <mergeCell ref="K422:L422"/>
    <mergeCell ref="B423:J423"/>
    <mergeCell ref="K423:L423"/>
    <mergeCell ref="B424:J424"/>
    <mergeCell ref="K424:L424"/>
    <mergeCell ref="B427:J427"/>
    <mergeCell ref="K427:L427"/>
    <mergeCell ref="B425:J425"/>
    <mergeCell ref="K425:L425"/>
    <mergeCell ref="B426:J426"/>
    <mergeCell ref="K426:L426"/>
    <mergeCell ref="B412:C412"/>
    <mergeCell ref="D412:E412"/>
    <mergeCell ref="C416:L416"/>
    <mergeCell ref="B419:J419"/>
    <mergeCell ref="K419:L419"/>
    <mergeCell ref="D413:E413"/>
    <mergeCell ref="L413:M413"/>
    <mergeCell ref="A414:C414"/>
    <mergeCell ref="D414:E414"/>
    <mergeCell ref="L414:M414"/>
    <mergeCell ref="L405:M405"/>
    <mergeCell ref="B406:C406"/>
    <mergeCell ref="B410:C410"/>
    <mergeCell ref="D410:E410"/>
    <mergeCell ref="L410:M410"/>
    <mergeCell ref="B411:C411"/>
    <mergeCell ref="D411:E411"/>
    <mergeCell ref="L411:M411"/>
    <mergeCell ref="K388:L388"/>
    <mergeCell ref="K380:L380"/>
    <mergeCell ref="I395:J395"/>
    <mergeCell ref="L407:M407"/>
    <mergeCell ref="B408:C408"/>
    <mergeCell ref="D408:E408"/>
    <mergeCell ref="L408:M408"/>
    <mergeCell ref="B407:C407"/>
    <mergeCell ref="D406:E406"/>
    <mergeCell ref="L406:M406"/>
    <mergeCell ref="B388:F388"/>
    <mergeCell ref="K367:L367"/>
    <mergeCell ref="L401:M403"/>
    <mergeCell ref="K373:L373"/>
    <mergeCell ref="K374:L374"/>
    <mergeCell ref="I376:J376"/>
    <mergeCell ref="K375:L375"/>
    <mergeCell ref="I393:J393"/>
    <mergeCell ref="K393:L393"/>
    <mergeCell ref="I383:J383"/>
    <mergeCell ref="L404:M404"/>
    <mergeCell ref="A401:A403"/>
    <mergeCell ref="B401:C403"/>
    <mergeCell ref="D401:E403"/>
    <mergeCell ref="F401:I401"/>
    <mergeCell ref="F402:F403"/>
    <mergeCell ref="D404:E404"/>
    <mergeCell ref="B393:F393"/>
    <mergeCell ref="G393:H393"/>
    <mergeCell ref="G382:H382"/>
    <mergeCell ref="B380:F380"/>
    <mergeCell ref="B482:F482"/>
    <mergeCell ref="B394:F394"/>
    <mergeCell ref="G394:H394"/>
    <mergeCell ref="B405:C405"/>
    <mergeCell ref="D405:E405"/>
    <mergeCell ref="B475:F475"/>
    <mergeCell ref="K498:L498"/>
    <mergeCell ref="G497:H497"/>
    <mergeCell ref="I497:J497"/>
    <mergeCell ref="K497:L497"/>
    <mergeCell ref="B490:F490"/>
    <mergeCell ref="G490:H490"/>
    <mergeCell ref="I490:J490"/>
    <mergeCell ref="K490:L490"/>
    <mergeCell ref="K496:L496"/>
    <mergeCell ref="B484:F484"/>
    <mergeCell ref="G484:H484"/>
    <mergeCell ref="B489:F489"/>
    <mergeCell ref="K491:L491"/>
    <mergeCell ref="I484:J484"/>
    <mergeCell ref="K484:L484"/>
    <mergeCell ref="B488:F488"/>
    <mergeCell ref="G488:H488"/>
    <mergeCell ref="I488:J488"/>
    <mergeCell ref="K488:L488"/>
    <mergeCell ref="G489:H489"/>
    <mergeCell ref="I489:J489"/>
    <mergeCell ref="K489:L489"/>
    <mergeCell ref="G482:H482"/>
    <mergeCell ref="I482:J482"/>
    <mergeCell ref="K482:L482"/>
    <mergeCell ref="B483:F483"/>
    <mergeCell ref="G483:H483"/>
    <mergeCell ref="I483:J483"/>
    <mergeCell ref="K483:L483"/>
    <mergeCell ref="J289:L289"/>
    <mergeCell ref="B289:E289"/>
    <mergeCell ref="F289:G289"/>
    <mergeCell ref="H289:I289"/>
    <mergeCell ref="B481:F481"/>
    <mergeCell ref="G481:H481"/>
    <mergeCell ref="I481:J481"/>
    <mergeCell ref="K481:L481"/>
    <mergeCell ref="K364:L364"/>
    <mergeCell ref="B373:F373"/>
    <mergeCell ref="B287:E287"/>
    <mergeCell ref="F287:G287"/>
    <mergeCell ref="H287:I287"/>
    <mergeCell ref="J287:L287"/>
    <mergeCell ref="B288:E288"/>
    <mergeCell ref="F288:G288"/>
    <mergeCell ref="K270:L270"/>
    <mergeCell ref="B271:J271"/>
    <mergeCell ref="K271:L271"/>
    <mergeCell ref="B270:J270"/>
    <mergeCell ref="B274:J274"/>
    <mergeCell ref="H288:I288"/>
    <mergeCell ref="J288:L288"/>
    <mergeCell ref="B283:E283"/>
    <mergeCell ref="F283:G283"/>
    <mergeCell ref="H283:I283"/>
    <mergeCell ref="J304:K304"/>
    <mergeCell ref="B281:E281"/>
    <mergeCell ref="F281:G281"/>
    <mergeCell ref="H281:I281"/>
    <mergeCell ref="H282:I282"/>
    <mergeCell ref="J282:L282"/>
    <mergeCell ref="J283:L283"/>
    <mergeCell ref="F282:G282"/>
    <mergeCell ref="B296:F296"/>
    <mergeCell ref="L303:M303"/>
    <mergeCell ref="K472:L472"/>
    <mergeCell ref="G476:H476"/>
    <mergeCell ref="I476:J476"/>
    <mergeCell ref="K476:L476"/>
    <mergeCell ref="K477:L477"/>
    <mergeCell ref="G474:H474"/>
    <mergeCell ref="I474:J474"/>
    <mergeCell ref="K474:L474"/>
    <mergeCell ref="G475:H475"/>
    <mergeCell ref="I475:J475"/>
    <mergeCell ref="B273:J273"/>
    <mergeCell ref="K273:L273"/>
    <mergeCell ref="B276:J276"/>
    <mergeCell ref="K276:L276"/>
    <mergeCell ref="K274:L274"/>
    <mergeCell ref="K275:L275"/>
    <mergeCell ref="B267:J267"/>
    <mergeCell ref="B269:J269"/>
    <mergeCell ref="B477:F477"/>
    <mergeCell ref="G477:H477"/>
    <mergeCell ref="I477:J477"/>
    <mergeCell ref="J281:L281"/>
    <mergeCell ref="B282:E282"/>
    <mergeCell ref="B476:F476"/>
    <mergeCell ref="B272:J272"/>
    <mergeCell ref="K272:L272"/>
    <mergeCell ref="K475:L475"/>
    <mergeCell ref="K269:L269"/>
    <mergeCell ref="C263:L263"/>
    <mergeCell ref="B266:J266"/>
    <mergeCell ref="K266:L266"/>
    <mergeCell ref="B474:F474"/>
    <mergeCell ref="K268:L268"/>
    <mergeCell ref="G473:H473"/>
    <mergeCell ref="I473:J473"/>
    <mergeCell ref="K473:L473"/>
    <mergeCell ref="A248:A250"/>
    <mergeCell ref="B248:C250"/>
    <mergeCell ref="D248:E250"/>
    <mergeCell ref="F248:I248"/>
    <mergeCell ref="F249:F250"/>
    <mergeCell ref="J248:J250"/>
    <mergeCell ref="G249:I249"/>
    <mergeCell ref="I204:J204"/>
    <mergeCell ref="K204:L204"/>
    <mergeCell ref="K229:L229"/>
    <mergeCell ref="K214:L214"/>
    <mergeCell ref="K221:L221"/>
    <mergeCell ref="K212:L212"/>
    <mergeCell ref="I212:J212"/>
    <mergeCell ref="K227:L227"/>
    <mergeCell ref="K220:L220"/>
    <mergeCell ref="I227:J227"/>
    <mergeCell ref="B204:F204"/>
    <mergeCell ref="I211:J211"/>
    <mergeCell ref="K210:L210"/>
    <mergeCell ref="K211:L211"/>
    <mergeCell ref="K222:L222"/>
    <mergeCell ref="K193:L193"/>
    <mergeCell ref="I205:J205"/>
    <mergeCell ref="K213:L213"/>
    <mergeCell ref="K205:L205"/>
    <mergeCell ref="K203:L203"/>
    <mergeCell ref="G364:H364"/>
    <mergeCell ref="L248:M250"/>
    <mergeCell ref="G210:H210"/>
    <mergeCell ref="I210:J210"/>
    <mergeCell ref="B205:F205"/>
    <mergeCell ref="B212:F212"/>
    <mergeCell ref="G212:H212"/>
    <mergeCell ref="G205:H205"/>
    <mergeCell ref="I206:J206"/>
    <mergeCell ref="D260:E260"/>
    <mergeCell ref="K365:L365"/>
    <mergeCell ref="I222:J222"/>
    <mergeCell ref="K235:L235"/>
    <mergeCell ref="K267:L267"/>
    <mergeCell ref="L257:M257"/>
    <mergeCell ref="I229:J229"/>
    <mergeCell ref="L260:M260"/>
    <mergeCell ref="L258:M258"/>
    <mergeCell ref="L261:M261"/>
    <mergeCell ref="L259:M259"/>
    <mergeCell ref="B365:F365"/>
    <mergeCell ref="G365:H365"/>
    <mergeCell ref="I365:J365"/>
    <mergeCell ref="B193:F193"/>
    <mergeCell ref="B203:F203"/>
    <mergeCell ref="G220:H220"/>
    <mergeCell ref="B214:F214"/>
    <mergeCell ref="B227:F227"/>
    <mergeCell ref="G204:H204"/>
    <mergeCell ref="G203:H203"/>
    <mergeCell ref="B473:F473"/>
    <mergeCell ref="I223:J223"/>
    <mergeCell ref="B223:F223"/>
    <mergeCell ref="G222:H222"/>
    <mergeCell ref="D252:E252"/>
    <mergeCell ref="B472:F472"/>
    <mergeCell ref="G472:H472"/>
    <mergeCell ref="I472:J472"/>
    <mergeCell ref="B230:F230"/>
    <mergeCell ref="I364:J364"/>
    <mergeCell ref="I375:J375"/>
    <mergeCell ref="I382:J382"/>
    <mergeCell ref="I380:J380"/>
    <mergeCell ref="J401:J403"/>
    <mergeCell ref="G373:H373"/>
    <mergeCell ref="I373:J373"/>
    <mergeCell ref="G383:H383"/>
    <mergeCell ref="G376:H376"/>
    <mergeCell ref="G143:H143"/>
    <mergeCell ref="I234:J234"/>
    <mergeCell ref="K234:L234"/>
    <mergeCell ref="G240:H240"/>
    <mergeCell ref="B268:J268"/>
    <mergeCell ref="G375:H375"/>
    <mergeCell ref="G242:H242"/>
    <mergeCell ref="I242:J242"/>
    <mergeCell ref="I220:J220"/>
    <mergeCell ref="I374:J374"/>
    <mergeCell ref="K242:L242"/>
    <mergeCell ref="L254:M254"/>
    <mergeCell ref="L256:M256"/>
    <mergeCell ref="K241:L241"/>
    <mergeCell ref="L255:M255"/>
    <mergeCell ref="L253:M253"/>
    <mergeCell ref="K230:L230"/>
    <mergeCell ref="I203:J203"/>
    <mergeCell ref="K228:L228"/>
    <mergeCell ref="K206:L206"/>
    <mergeCell ref="B206:F206"/>
    <mergeCell ref="I221:J221"/>
    <mergeCell ref="B211:F211"/>
    <mergeCell ref="G206:H206"/>
    <mergeCell ref="G229:H229"/>
    <mergeCell ref="G228:H228"/>
    <mergeCell ref="B210:F210"/>
    <mergeCell ref="I214:J214"/>
    <mergeCell ref="F303:G303"/>
    <mergeCell ref="F314:G314"/>
    <mergeCell ref="H314:I314"/>
    <mergeCell ref="I228:J228"/>
    <mergeCell ref="B220:F220"/>
    <mergeCell ref="G230:H230"/>
    <mergeCell ref="G221:H221"/>
    <mergeCell ref="A261:C261"/>
    <mergeCell ref="L134:M134"/>
    <mergeCell ref="K147:L147"/>
    <mergeCell ref="B142:F142"/>
    <mergeCell ref="G142:H142"/>
    <mergeCell ref="K145:L145"/>
    <mergeCell ref="G145:H145"/>
    <mergeCell ref="B143:F143"/>
    <mergeCell ref="I142:J142"/>
    <mergeCell ref="B147:F147"/>
    <mergeCell ref="G147:H147"/>
    <mergeCell ref="J130:K130"/>
    <mergeCell ref="J134:K134"/>
    <mergeCell ref="B138:F138"/>
    <mergeCell ref="I138:J138"/>
    <mergeCell ref="F129:G129"/>
    <mergeCell ref="H129:I129"/>
    <mergeCell ref="H131:I131"/>
    <mergeCell ref="J131:K131"/>
    <mergeCell ref="J129:K129"/>
    <mergeCell ref="K138:L138"/>
    <mergeCell ref="I139:J139"/>
    <mergeCell ref="K139:L139"/>
    <mergeCell ref="B140:F140"/>
    <mergeCell ref="B141:F141"/>
    <mergeCell ref="G140:H140"/>
    <mergeCell ref="I140:J140"/>
    <mergeCell ref="B133:E133"/>
    <mergeCell ref="F133:G133"/>
    <mergeCell ref="G141:H141"/>
    <mergeCell ref="I141:J141"/>
    <mergeCell ref="J125:K125"/>
    <mergeCell ref="G138:H138"/>
    <mergeCell ref="H130:I130"/>
    <mergeCell ref="K141:L141"/>
    <mergeCell ref="K140:L140"/>
    <mergeCell ref="B139:F139"/>
    <mergeCell ref="L118:M118"/>
    <mergeCell ref="B123:E123"/>
    <mergeCell ref="F123:G123"/>
    <mergeCell ref="F130:G130"/>
    <mergeCell ref="F125:G125"/>
    <mergeCell ref="B130:E130"/>
    <mergeCell ref="B129:E129"/>
    <mergeCell ref="F124:G124"/>
    <mergeCell ref="H124:I124"/>
    <mergeCell ref="B125:E125"/>
    <mergeCell ref="J108:L108"/>
    <mergeCell ref="B115:F115"/>
    <mergeCell ref="H115:I115"/>
    <mergeCell ref="L115:M115"/>
    <mergeCell ref="J115:K115"/>
    <mergeCell ref="L116:M116"/>
    <mergeCell ref="B116:F116"/>
    <mergeCell ref="H116:I116"/>
    <mergeCell ref="J116:K116"/>
    <mergeCell ref="B467:E467"/>
    <mergeCell ref="F467:G467"/>
    <mergeCell ref="H467:I467"/>
    <mergeCell ref="J467:K467"/>
    <mergeCell ref="I236:J236"/>
    <mergeCell ref="I240:J240"/>
    <mergeCell ref="I329:J329"/>
    <mergeCell ref="B310:E310"/>
    <mergeCell ref="B257:C257"/>
    <mergeCell ref="B236:F236"/>
    <mergeCell ref="L467:M467"/>
    <mergeCell ref="B471:F471"/>
    <mergeCell ref="G471:H471"/>
    <mergeCell ref="I471:J471"/>
    <mergeCell ref="K471:L471"/>
    <mergeCell ref="B90:J90"/>
    <mergeCell ref="F466:G466"/>
    <mergeCell ref="H466:I466"/>
    <mergeCell ref="J466:K466"/>
    <mergeCell ref="L466:M466"/>
    <mergeCell ref="J107:L107"/>
    <mergeCell ref="B108:E108"/>
    <mergeCell ref="H108:I108"/>
    <mergeCell ref="B118:F118"/>
    <mergeCell ref="L122:M122"/>
    <mergeCell ref="B88:J88"/>
    <mergeCell ref="B94:J94"/>
    <mergeCell ref="K94:L94"/>
    <mergeCell ref="K93:L93"/>
    <mergeCell ref="B92:J92"/>
    <mergeCell ref="K92:L92"/>
    <mergeCell ref="K90:L90"/>
    <mergeCell ref="B91:J91"/>
    <mergeCell ref="K91:L91"/>
    <mergeCell ref="K89:L89"/>
    <mergeCell ref="C82:L82"/>
    <mergeCell ref="B85:J85"/>
    <mergeCell ref="K85:L85"/>
    <mergeCell ref="B86:J86"/>
    <mergeCell ref="K86:L86"/>
    <mergeCell ref="K87:L87"/>
    <mergeCell ref="K95:L95"/>
    <mergeCell ref="B107:E107"/>
    <mergeCell ref="J106:L106"/>
    <mergeCell ref="H102:I102"/>
    <mergeCell ref="B100:E100"/>
    <mergeCell ref="F100:G100"/>
    <mergeCell ref="J102:L102"/>
    <mergeCell ref="B106:E106"/>
    <mergeCell ref="F106:G106"/>
    <mergeCell ref="F107:G107"/>
    <mergeCell ref="L52:M52"/>
    <mergeCell ref="L50:M50"/>
    <mergeCell ref="D52:E52"/>
    <mergeCell ref="B51:C51"/>
    <mergeCell ref="L59:M59"/>
    <mergeCell ref="B55:C55"/>
    <mergeCell ref="D55:E55"/>
    <mergeCell ref="L55:M55"/>
    <mergeCell ref="L54:M54"/>
    <mergeCell ref="D56:E56"/>
    <mergeCell ref="B56:C56"/>
    <mergeCell ref="D58:E58"/>
    <mergeCell ref="L58:M58"/>
    <mergeCell ref="B57:C57"/>
    <mergeCell ref="L57:M57"/>
    <mergeCell ref="L56:M56"/>
    <mergeCell ref="D57:E57"/>
    <mergeCell ref="B95:J95"/>
    <mergeCell ref="L49:M49"/>
    <mergeCell ref="B49:C49"/>
    <mergeCell ref="D49:E49"/>
    <mergeCell ref="B53:C53"/>
    <mergeCell ref="B50:C50"/>
    <mergeCell ref="D53:E53"/>
    <mergeCell ref="L53:M53"/>
    <mergeCell ref="B52:C52"/>
    <mergeCell ref="D51:E51"/>
    <mergeCell ref="L51:M51"/>
    <mergeCell ref="K46:K48"/>
    <mergeCell ref="L46:M48"/>
    <mergeCell ref="F47:F48"/>
    <mergeCell ref="G47:I47"/>
    <mergeCell ref="J46:J48"/>
    <mergeCell ref="A46:A48"/>
    <mergeCell ref="B46:C48"/>
    <mergeCell ref="D46:E48"/>
    <mergeCell ref="F46:I46"/>
    <mergeCell ref="D50:E50"/>
    <mergeCell ref="B102:E102"/>
    <mergeCell ref="F102:G102"/>
    <mergeCell ref="B87:J87"/>
    <mergeCell ref="A63:E63"/>
    <mergeCell ref="F63:G63"/>
    <mergeCell ref="H63:J63"/>
    <mergeCell ref="B54:C54"/>
    <mergeCell ref="B89:J89"/>
    <mergeCell ref="H100:I100"/>
    <mergeCell ref="A59:C59"/>
    <mergeCell ref="D59:E59"/>
    <mergeCell ref="D54:E54"/>
    <mergeCell ref="B93:J93"/>
    <mergeCell ref="F66:G66"/>
    <mergeCell ref="H66:J66"/>
    <mergeCell ref="K88:L88"/>
    <mergeCell ref="A65:E65"/>
    <mergeCell ref="F65:G65"/>
    <mergeCell ref="H65:J65"/>
    <mergeCell ref="K65:L65"/>
    <mergeCell ref="A64:E64"/>
    <mergeCell ref="F64:G64"/>
    <mergeCell ref="K64:L64"/>
    <mergeCell ref="H64:J64"/>
    <mergeCell ref="A66:E66"/>
    <mergeCell ref="H107:I107"/>
    <mergeCell ref="F108:G108"/>
    <mergeCell ref="B152:F152"/>
    <mergeCell ref="G152:H152"/>
    <mergeCell ref="B145:F145"/>
    <mergeCell ref="B151:F151"/>
    <mergeCell ref="B134:E134"/>
    <mergeCell ref="F134:G134"/>
    <mergeCell ref="B117:F117"/>
    <mergeCell ref="B122:E122"/>
    <mergeCell ref="L117:M117"/>
    <mergeCell ref="B304:E304"/>
    <mergeCell ref="L123:M123"/>
    <mergeCell ref="I145:J145"/>
    <mergeCell ref="K152:L152"/>
    <mergeCell ref="K223:L223"/>
    <mergeCell ref="J118:K118"/>
    <mergeCell ref="J117:K117"/>
    <mergeCell ref="J122:K122"/>
    <mergeCell ref="J124:K124"/>
    <mergeCell ref="L306:M306"/>
    <mergeCell ref="B305:E305"/>
    <mergeCell ref="F305:G305"/>
    <mergeCell ref="L305:M305"/>
    <mergeCell ref="F122:G122"/>
    <mergeCell ref="K240:L240"/>
    <mergeCell ref="B234:F234"/>
    <mergeCell ref="G234:H234"/>
    <mergeCell ref="H125:I125"/>
    <mergeCell ref="B124:E124"/>
    <mergeCell ref="L465:M465"/>
    <mergeCell ref="L304:M304"/>
    <mergeCell ref="H305:I305"/>
    <mergeCell ref="J305:K305"/>
    <mergeCell ref="I366:J366"/>
    <mergeCell ref="K366:L366"/>
    <mergeCell ref="G374:H374"/>
    <mergeCell ref="G402:I402"/>
    <mergeCell ref="K395:L395"/>
    <mergeCell ref="H306:I306"/>
    <mergeCell ref="B465:E465"/>
    <mergeCell ref="F465:G465"/>
    <mergeCell ref="H465:I465"/>
    <mergeCell ref="J465:K465"/>
    <mergeCell ref="B306:E306"/>
    <mergeCell ref="F306:G306"/>
    <mergeCell ref="G381:H381"/>
    <mergeCell ref="K376:L376"/>
    <mergeCell ref="B366:F366"/>
    <mergeCell ref="B367:F367"/>
    <mergeCell ref="H123:I123"/>
    <mergeCell ref="H117:I117"/>
    <mergeCell ref="H118:I118"/>
    <mergeCell ref="J123:K123"/>
    <mergeCell ref="G367:H367"/>
    <mergeCell ref="J312:K312"/>
    <mergeCell ref="J306:K306"/>
    <mergeCell ref="H122:I122"/>
    <mergeCell ref="G366:H366"/>
    <mergeCell ref="G139:H139"/>
    <mergeCell ref="B376:F376"/>
    <mergeCell ref="B364:F364"/>
    <mergeCell ref="J464:K464"/>
    <mergeCell ref="J459:K459"/>
    <mergeCell ref="B459:E459"/>
    <mergeCell ref="B389:F389"/>
    <mergeCell ref="J449:K449"/>
    <mergeCell ref="G388:H388"/>
    <mergeCell ref="J463:K463"/>
    <mergeCell ref="F459:G459"/>
    <mergeCell ref="L464:M464"/>
    <mergeCell ref="K381:L381"/>
    <mergeCell ref="G154:H154"/>
    <mergeCell ref="G151:H151"/>
    <mergeCell ref="K389:L389"/>
    <mergeCell ref="K383:L383"/>
    <mergeCell ref="K382:L382"/>
    <mergeCell ref="G387:H387"/>
    <mergeCell ref="G153:H153"/>
    <mergeCell ref="I230:J230"/>
    <mergeCell ref="K236:L236"/>
    <mergeCell ref="G235:H235"/>
    <mergeCell ref="I235:J235"/>
    <mergeCell ref="K248:K250"/>
    <mergeCell ref="B298:F298"/>
    <mergeCell ref="H298:I298"/>
    <mergeCell ref="D251:E251"/>
    <mergeCell ref="L252:M252"/>
    <mergeCell ref="B242:F242"/>
    <mergeCell ref="L251:M251"/>
    <mergeCell ref="H299:I299"/>
    <mergeCell ref="J299:K299"/>
    <mergeCell ref="B252:C252"/>
    <mergeCell ref="J298:K298"/>
    <mergeCell ref="B255:C255"/>
    <mergeCell ref="D255:E255"/>
    <mergeCell ref="B253:C253"/>
    <mergeCell ref="D253:E253"/>
    <mergeCell ref="D258:E258"/>
    <mergeCell ref="D257:E257"/>
    <mergeCell ref="D256:E256"/>
    <mergeCell ref="B258:C258"/>
    <mergeCell ref="L297:M297"/>
    <mergeCell ref="B254:C254"/>
    <mergeCell ref="D254:E254"/>
    <mergeCell ref="B251:C251"/>
    <mergeCell ref="B259:C259"/>
    <mergeCell ref="D261:E261"/>
    <mergeCell ref="B256:C256"/>
    <mergeCell ref="D259:E259"/>
    <mergeCell ref="H459:I459"/>
    <mergeCell ref="F304:G304"/>
    <mergeCell ref="B303:E303"/>
    <mergeCell ref="G389:H389"/>
    <mergeCell ref="I389:J389"/>
    <mergeCell ref="I381:J381"/>
    <mergeCell ref="I387:J387"/>
    <mergeCell ref="B395:F395"/>
    <mergeCell ref="I388:J388"/>
    <mergeCell ref="F458:G458"/>
    <mergeCell ref="L463:M463"/>
    <mergeCell ref="L459:M459"/>
    <mergeCell ref="L298:M298"/>
    <mergeCell ref="L296:M296"/>
    <mergeCell ref="H297:I297"/>
    <mergeCell ref="K394:L394"/>
    <mergeCell ref="K387:L387"/>
    <mergeCell ref="I394:J394"/>
    <mergeCell ref="G395:H395"/>
    <mergeCell ref="I367:J367"/>
    <mergeCell ref="J303:K303"/>
    <mergeCell ref="K329:L329"/>
    <mergeCell ref="B183:F183"/>
    <mergeCell ref="G183:H183"/>
    <mergeCell ref="K320:L320"/>
    <mergeCell ref="G178:H178"/>
    <mergeCell ref="B179:F179"/>
    <mergeCell ref="G180:H180"/>
    <mergeCell ref="H303:I303"/>
    <mergeCell ref="B299:F299"/>
    <mergeCell ref="G187:H187"/>
    <mergeCell ref="B182:F182"/>
    <mergeCell ref="G241:H241"/>
    <mergeCell ref="B178:F178"/>
    <mergeCell ref="B180:F180"/>
    <mergeCell ref="B235:F235"/>
    <mergeCell ref="G223:H223"/>
    <mergeCell ref="B187:F187"/>
    <mergeCell ref="G211:H211"/>
    <mergeCell ref="G214:H214"/>
    <mergeCell ref="J458:K458"/>
    <mergeCell ref="L458:M458"/>
    <mergeCell ref="B457:E457"/>
    <mergeCell ref="I241:J241"/>
    <mergeCell ref="B387:F387"/>
    <mergeCell ref="B297:F297"/>
    <mergeCell ref="J297:K297"/>
    <mergeCell ref="B383:F383"/>
    <mergeCell ref="J457:K457"/>
    <mergeCell ref="B241:F241"/>
    <mergeCell ref="B452:F452"/>
    <mergeCell ref="H452:I452"/>
    <mergeCell ref="J452:K452"/>
    <mergeCell ref="D407:E407"/>
    <mergeCell ref="L457:M457"/>
    <mergeCell ref="L412:M412"/>
    <mergeCell ref="B409:C409"/>
    <mergeCell ref="D409:E409"/>
    <mergeCell ref="L409:M409"/>
    <mergeCell ref="B456:E456"/>
    <mergeCell ref="B466:E466"/>
    <mergeCell ref="B518:F518"/>
    <mergeCell ref="L451:M451"/>
    <mergeCell ref="L452:M452"/>
    <mergeCell ref="F456:G456"/>
    <mergeCell ref="H456:I456"/>
    <mergeCell ref="J456:K456"/>
    <mergeCell ref="B517:F517"/>
    <mergeCell ref="B451:F451"/>
    <mergeCell ref="L456:M456"/>
    <mergeCell ref="F457:G457"/>
    <mergeCell ref="H457:I457"/>
    <mergeCell ref="H463:I463"/>
    <mergeCell ref="B464:E464"/>
    <mergeCell ref="F464:G464"/>
    <mergeCell ref="H464:I464"/>
    <mergeCell ref="B463:E463"/>
    <mergeCell ref="F463:G463"/>
    <mergeCell ref="B458:E458"/>
    <mergeCell ref="H458:I458"/>
    <mergeCell ref="B101:E101"/>
    <mergeCell ref="F101:G101"/>
    <mergeCell ref="H101:I101"/>
    <mergeCell ref="J101:L101"/>
    <mergeCell ref="H106:I106"/>
    <mergeCell ref="H451:I451"/>
    <mergeCell ref="B404:C404"/>
    <mergeCell ref="J451:K451"/>
    <mergeCell ref="B449:F449"/>
    <mergeCell ref="H449:I449"/>
    <mergeCell ref="K165:L165"/>
    <mergeCell ref="L449:M449"/>
    <mergeCell ref="B450:F450"/>
    <mergeCell ref="H450:I450"/>
    <mergeCell ref="J450:K450"/>
    <mergeCell ref="L450:M450"/>
    <mergeCell ref="K401:K403"/>
    <mergeCell ref="H296:I296"/>
    <mergeCell ref="B314:E314"/>
    <mergeCell ref="J296:K296"/>
    <mergeCell ref="L313:M313"/>
    <mergeCell ref="B312:E312"/>
    <mergeCell ref="F312:G312"/>
    <mergeCell ref="H312:I312"/>
    <mergeCell ref="G164:H164"/>
    <mergeCell ref="I164:J164"/>
    <mergeCell ref="K164:L164"/>
    <mergeCell ref="B165:F165"/>
    <mergeCell ref="G165:H165"/>
    <mergeCell ref="L312:M312"/>
    <mergeCell ref="B313:E313"/>
    <mergeCell ref="F313:G313"/>
    <mergeCell ref="H313:I313"/>
    <mergeCell ref="J313:K313"/>
    <mergeCell ref="B213:F213"/>
    <mergeCell ref="G213:H213"/>
    <mergeCell ref="I213:J213"/>
    <mergeCell ref="H304:I304"/>
    <mergeCell ref="G236:H236"/>
    <mergeCell ref="B240:F240"/>
    <mergeCell ref="L299:M299"/>
    <mergeCell ref="B319:F319"/>
    <mergeCell ref="G319:H319"/>
    <mergeCell ref="I319:J319"/>
    <mergeCell ref="K319:L319"/>
    <mergeCell ref="L314:M314"/>
    <mergeCell ref="B318:F318"/>
    <mergeCell ref="G318:H318"/>
    <mergeCell ref="I318:J318"/>
    <mergeCell ref="K318:L318"/>
    <mergeCell ref="J314:K314"/>
    <mergeCell ref="I322:J322"/>
    <mergeCell ref="K322:L322"/>
    <mergeCell ref="B321:F321"/>
    <mergeCell ref="G321:H321"/>
    <mergeCell ref="I321:J321"/>
    <mergeCell ref="K321:L321"/>
    <mergeCell ref="I320:J320"/>
    <mergeCell ref="B320:F320"/>
    <mergeCell ref="B322:F322"/>
    <mergeCell ref="K323:L323"/>
    <mergeCell ref="B324:F324"/>
    <mergeCell ref="G324:H324"/>
    <mergeCell ref="I324:J324"/>
    <mergeCell ref="K324:L324"/>
    <mergeCell ref="I328:J328"/>
    <mergeCell ref="K328:L328"/>
    <mergeCell ref="K330:L330"/>
    <mergeCell ref="G329:H329"/>
    <mergeCell ref="B328:F328"/>
    <mergeCell ref="G328:H328"/>
    <mergeCell ref="B331:F331"/>
    <mergeCell ref="G331:H331"/>
    <mergeCell ref="I331:J331"/>
    <mergeCell ref="K331:L331"/>
    <mergeCell ref="B335:F335"/>
    <mergeCell ref="G335:H335"/>
    <mergeCell ref="I335:J335"/>
    <mergeCell ref="K335:L335"/>
    <mergeCell ref="K342:L342"/>
    <mergeCell ref="B336:F336"/>
    <mergeCell ref="G336:H336"/>
    <mergeCell ref="I336:J336"/>
    <mergeCell ref="K336:L336"/>
    <mergeCell ref="B337:F337"/>
    <mergeCell ref="I337:J337"/>
    <mergeCell ref="K337:L337"/>
    <mergeCell ref="G337:H337"/>
    <mergeCell ref="B341:F341"/>
    <mergeCell ref="G341:H341"/>
    <mergeCell ref="I341:J341"/>
    <mergeCell ref="G343:H343"/>
    <mergeCell ref="B343:F343"/>
    <mergeCell ref="I343:J343"/>
    <mergeCell ref="K343:L343"/>
    <mergeCell ref="K341:L341"/>
    <mergeCell ref="B342:F342"/>
    <mergeCell ref="G342:H342"/>
    <mergeCell ref="I342:J342"/>
    <mergeCell ref="G345:H345"/>
    <mergeCell ref="I344:J344"/>
    <mergeCell ref="K344:L344"/>
    <mergeCell ref="I345:J345"/>
    <mergeCell ref="K345:L345"/>
    <mergeCell ref="B344:F344"/>
    <mergeCell ref="G344:H344"/>
    <mergeCell ref="B351:F351"/>
    <mergeCell ref="G351:H351"/>
    <mergeCell ref="I351:J351"/>
    <mergeCell ref="K351:L351"/>
    <mergeCell ref="B350:F350"/>
    <mergeCell ref="G350:H350"/>
    <mergeCell ref="K160:L160"/>
    <mergeCell ref="G157:H157"/>
    <mergeCell ref="I157:J157"/>
    <mergeCell ref="K157:L157"/>
    <mergeCell ref="J133:K133"/>
    <mergeCell ref="B349:F349"/>
    <mergeCell ref="G349:H349"/>
    <mergeCell ref="I349:J349"/>
    <mergeCell ref="K349:L349"/>
    <mergeCell ref="B345:F345"/>
    <mergeCell ref="K63:L63"/>
    <mergeCell ref="L130:M130"/>
    <mergeCell ref="I152:J152"/>
    <mergeCell ref="H132:I132"/>
    <mergeCell ref="J132:K132"/>
    <mergeCell ref="L132:M132"/>
    <mergeCell ref="L133:M133"/>
    <mergeCell ref="H133:I133"/>
    <mergeCell ref="L129:M129"/>
    <mergeCell ref="J100:L100"/>
    <mergeCell ref="K66:L66"/>
    <mergeCell ref="I153:J153"/>
    <mergeCell ref="B153:F153"/>
    <mergeCell ref="B131:E131"/>
    <mergeCell ref="F131:G131"/>
    <mergeCell ref="L131:M131"/>
    <mergeCell ref="B132:E132"/>
    <mergeCell ref="K153:L153"/>
    <mergeCell ref="F132:G132"/>
    <mergeCell ref="H134:I134"/>
    <mergeCell ref="G160:H160"/>
    <mergeCell ref="I160:J160"/>
    <mergeCell ref="B166:F166"/>
    <mergeCell ref="G168:H168"/>
    <mergeCell ref="B164:F164"/>
    <mergeCell ref="B160:F160"/>
    <mergeCell ref="B168:F168"/>
    <mergeCell ref="B154:F154"/>
    <mergeCell ref="G173:H173"/>
    <mergeCell ref="I173:J173"/>
    <mergeCell ref="K173:L173"/>
    <mergeCell ref="I172:J172"/>
    <mergeCell ref="K172:L172"/>
    <mergeCell ref="B172:F172"/>
    <mergeCell ref="G172:H172"/>
    <mergeCell ref="I168:J168"/>
    <mergeCell ref="B157:F157"/>
    <mergeCell ref="H73:J73"/>
    <mergeCell ref="K73:L73"/>
    <mergeCell ref="A70:E70"/>
    <mergeCell ref="F70:G70"/>
    <mergeCell ref="H70:J70"/>
    <mergeCell ref="K70:L70"/>
    <mergeCell ref="A71:E71"/>
    <mergeCell ref="F71:G71"/>
    <mergeCell ref="H71:J71"/>
    <mergeCell ref="K71:L71"/>
    <mergeCell ref="K167:L167"/>
    <mergeCell ref="G174:H174"/>
    <mergeCell ref="I174:J174"/>
    <mergeCell ref="B173:F173"/>
    <mergeCell ref="A72:E72"/>
    <mergeCell ref="F72:G72"/>
    <mergeCell ref="H72:J72"/>
    <mergeCell ref="K72:L72"/>
    <mergeCell ref="A73:E73"/>
    <mergeCell ref="F73:G73"/>
    <mergeCell ref="B146:F146"/>
    <mergeCell ref="G146:H146"/>
    <mergeCell ref="I146:J146"/>
    <mergeCell ref="K146:L146"/>
    <mergeCell ref="G192:H192"/>
    <mergeCell ref="I192:J192"/>
    <mergeCell ref="K192:L192"/>
    <mergeCell ref="B167:F167"/>
    <mergeCell ref="G167:H167"/>
    <mergeCell ref="I167:J167"/>
    <mergeCell ref="A77:E77"/>
    <mergeCell ref="F77:G77"/>
    <mergeCell ref="H77:J77"/>
    <mergeCell ref="K77:L77"/>
    <mergeCell ref="A78:E78"/>
    <mergeCell ref="F78:G78"/>
    <mergeCell ref="H78:J78"/>
    <mergeCell ref="K78:L78"/>
    <mergeCell ref="A79:E79"/>
    <mergeCell ref="F79:G79"/>
    <mergeCell ref="H79:J79"/>
    <mergeCell ref="K79:L79"/>
    <mergeCell ref="A80:E80"/>
    <mergeCell ref="F80:G80"/>
    <mergeCell ref="H80:J80"/>
    <mergeCell ref="K80:L80"/>
  </mergeCells>
  <printOptions/>
  <pageMargins left="0.7874015748031497" right="0.3937007874015748" top="0.3937007874015748" bottom="0.3937007874015748" header="0.31496062992125984" footer="0.31496062992125984"/>
  <pageSetup horizontalDpi="600" verticalDpi="600" orientation="portrait" paperSize="9" scale="46" r:id="rId1"/>
  <rowBreaks count="5" manualBreakCount="5">
    <brk id="108" max="12" man="1"/>
    <brk id="206" max="12" man="1"/>
    <brk id="289" max="12" man="1"/>
    <brk id="368" max="12" man="1"/>
    <brk id="4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2021-07-15T10:41:39Z</cp:lastPrinted>
  <dcterms:created xsi:type="dcterms:W3CDTF">2011-01-11T10:25:48Z</dcterms:created>
  <dcterms:modified xsi:type="dcterms:W3CDTF">2021-11-01T07:25:58Z</dcterms:modified>
  <cp:category/>
  <cp:version/>
  <cp:contentType/>
  <cp:contentStatus/>
</cp:coreProperties>
</file>